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TICO\Desktop\"/>
    </mc:Choice>
  </mc:AlternateContent>
  <xr:revisionPtr revIDLastSave="0" documentId="8_{914C6E2E-814C-4FF3-B8FB-9CC70885230A}" xr6:coauthVersionLast="47" xr6:coauthVersionMax="47" xr10:uidLastSave="{00000000-0000-0000-0000-000000000000}"/>
  <bookViews>
    <workbookView xWindow="-120" yWindow="-120" windowWidth="29040" windowHeight="15720" tabRatio="862" firstSheet="2" activeTab="2" xr2:uid="{A35976E2-801D-47CA-B2EF-75B3A1F040FD}"/>
  </bookViews>
  <sheets>
    <sheet name="bvb indicators 30.09.2024 " sheetId="15" state="hidden" r:id="rId1"/>
    <sheet name="bvb 30.09.2024" sheetId="7" state="hidden" r:id="rId2"/>
    <sheet name="BS pt import 16" sheetId="1" r:id="rId3"/>
    <sheet name="BS (2)" sheetId="4" state="hidden" r:id="rId4"/>
    <sheet name="BS (3)" sheetId="13" state="hidden" r:id="rId5"/>
    <sheet name="Income Statement" sheetId="2" r:id="rId6"/>
    <sheet name="IS(2)" sheetId="5" state="hidden" r:id="rId7"/>
    <sheet name="IS(3)" sheetId="12" state="hidden" r:id="rId8"/>
    <sheet name="Datorii" sheetId="14" state="hidden" r:id="rId9"/>
    <sheet name="indicatori" sheetId="3" state="hidden" r:id="rId10"/>
    <sheet name=" 30.09.2024" sheetId="10" state="hidden" r:id="rId11"/>
  </sheets>
  <externalReferences>
    <externalReference r:id="rId12"/>
  </externalReferences>
  <definedNames>
    <definedName name="_Hlk125550204" localSheetId="10">' 30.09.2024'!$A$3</definedName>
    <definedName name="_Hlk125550204" localSheetId="1">'bvb 30.09.2024'!$A$3</definedName>
    <definedName name="_Hlk125550204" localSheetId="0">'bvb indicators 30.09.2024 '!$A$3</definedName>
    <definedName name="_xlnm.Database" localSheetId="8">#REF!</definedName>
    <definedName name="_xlnm.Database" localSheetId="9">#REF!</definedName>
    <definedName name="_xlnm.Database">#REF!</definedName>
    <definedName name="_xlnm.Print_Area" localSheetId="2">'BS pt import 16'!$A$1:$D$52</definedName>
    <definedName name="_xlnm.Print_Area" localSheetId="1">'bvb 30.09.2024'!$A$3:$D$31</definedName>
    <definedName name="_xlnm.Print_Area" localSheetId="5">'Income Statement'!$A$1:$D$78</definedName>
    <definedName name="_xlnm.Print_Area" localSheetId="6">'IS(2)'!$A$1:$D$14</definedName>
    <definedName name="_xlnm.Print_Area" localSheetId="7">'IS(3)'!$A$1:$D$75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2" l="1"/>
  <c r="G16" i="14"/>
  <c r="H15" i="14"/>
  <c r="G15" i="14"/>
  <c r="F15" i="14"/>
  <c r="C30" i="7" l="1"/>
  <c r="B20" i="15"/>
  <c r="B18" i="15"/>
  <c r="B8" i="15"/>
  <c r="B16" i="15" s="1"/>
  <c r="F29" i="7"/>
  <c r="F28" i="7"/>
  <c r="F27" i="7"/>
  <c r="F26" i="7"/>
  <c r="F22" i="7"/>
  <c r="F24" i="7"/>
  <c r="C24" i="7"/>
  <c r="C22" i="7"/>
  <c r="C20" i="7"/>
  <c r="F20" i="7"/>
  <c r="F19" i="7"/>
  <c r="F18" i="7"/>
  <c r="F17" i="7"/>
  <c r="F16" i="7"/>
  <c r="F15" i="7"/>
  <c r="F14" i="7"/>
  <c r="C14" i="7"/>
  <c r="E11" i="7" l="1"/>
  <c r="F11" i="7" l="1"/>
  <c r="F10" i="7"/>
  <c r="F5" i="7"/>
  <c r="F6" i="7"/>
  <c r="F7" i="7"/>
  <c r="F8" i="7"/>
  <c r="F9" i="7"/>
  <c r="E9" i="7"/>
  <c r="E10" i="7"/>
  <c r="C11" i="7" l="1"/>
  <c r="B6" i="15"/>
  <c r="B11" i="7" l="1"/>
  <c r="D36" i="2" l="1"/>
  <c r="M14" i="7" l="1"/>
  <c r="F20" i="15"/>
  <c r="F19" i="15"/>
  <c r="F18" i="15"/>
  <c r="F17" i="15"/>
  <c r="F16" i="15"/>
  <c r="F15" i="15"/>
  <c r="F14" i="15"/>
  <c r="F13" i="15"/>
  <c r="F11" i="15"/>
  <c r="F10" i="15"/>
  <c r="F9" i="15"/>
  <c r="F8" i="15"/>
  <c r="F7" i="15"/>
  <c r="F6" i="15"/>
  <c r="F5" i="15"/>
  <c r="G6" i="15"/>
  <c r="G7" i="15"/>
  <c r="G8" i="15"/>
  <c r="G16" i="15" s="1"/>
  <c r="G9" i="15"/>
  <c r="G10" i="15"/>
  <c r="G11" i="15"/>
  <c r="G15" i="15" s="1"/>
  <c r="G17" i="15" l="1"/>
  <c r="G13" i="15"/>
  <c r="G18" i="15" s="1"/>
  <c r="G20" i="15"/>
  <c r="G19" i="15"/>
  <c r="B10" i="15"/>
  <c r="D10" i="15" s="1"/>
  <c r="D8" i="15"/>
  <c r="B7" i="15"/>
  <c r="D6" i="15"/>
  <c r="D14" i="15"/>
  <c r="D7" i="15" l="1"/>
  <c r="B17" i="15"/>
  <c r="D14" i="10"/>
  <c r="D17" i="15" l="1"/>
  <c r="C11" i="10"/>
  <c r="D16" i="15" l="1"/>
  <c r="D49" i="1"/>
  <c r="B11" i="15" l="1"/>
  <c r="B11" i="10"/>
  <c r="D11" i="10" s="1"/>
  <c r="D41" i="1"/>
  <c r="D43" i="1"/>
  <c r="D49" i="2"/>
  <c r="D44" i="2"/>
  <c r="B15" i="15" l="1"/>
  <c r="D11" i="15"/>
  <c r="D32" i="14"/>
  <c r="D10" i="14"/>
  <c r="D61" i="2"/>
  <c r="D31" i="3"/>
  <c r="D17" i="3"/>
  <c r="C23" i="3"/>
  <c r="D21" i="3"/>
  <c r="D10" i="3"/>
  <c r="D9" i="3"/>
  <c r="D11" i="3" s="1"/>
  <c r="D67" i="2"/>
  <c r="D65" i="2"/>
  <c r="D15" i="2"/>
  <c r="D13" i="2"/>
  <c r="D34" i="2"/>
  <c r="D32" i="2"/>
  <c r="D48" i="2"/>
  <c r="D53" i="2"/>
  <c r="C11" i="3" l="1"/>
  <c r="D15" i="15"/>
  <c r="B19" i="15"/>
  <c r="D19" i="15" s="1"/>
  <c r="C32" i="3"/>
  <c r="C18" i="3"/>
  <c r="D22" i="3"/>
  <c r="D23" i="3" s="1"/>
  <c r="D18" i="3"/>
  <c r="D32" i="3"/>
  <c r="B28" i="7"/>
  <c r="C75" i="12" l="1"/>
  <c r="C69" i="12"/>
  <c r="C68" i="12"/>
  <c r="C67" i="12"/>
  <c r="C66" i="12"/>
  <c r="C65" i="12"/>
  <c r="C58" i="12"/>
  <c r="C50" i="12"/>
  <c r="C49" i="12"/>
  <c r="C46" i="12"/>
  <c r="C38" i="12"/>
  <c r="C35" i="12"/>
  <c r="C32" i="12"/>
  <c r="C29" i="12"/>
  <c r="B75" i="12"/>
  <c r="B69" i="12"/>
  <c r="B68" i="12"/>
  <c r="B67" i="12"/>
  <c r="B66" i="12"/>
  <c r="B65" i="12"/>
  <c r="B58" i="12"/>
  <c r="B50" i="12"/>
  <c r="B49" i="12"/>
  <c r="B46" i="12"/>
  <c r="B38" i="12"/>
  <c r="B35" i="12"/>
  <c r="B32" i="12"/>
  <c r="B29" i="12"/>
  <c r="C23" i="12"/>
  <c r="B23" i="12"/>
  <c r="C8" i="12"/>
  <c r="B8" i="12"/>
  <c r="B15" i="10" l="1"/>
  <c r="B24" i="7" l="1"/>
  <c r="D24" i="7" s="1"/>
  <c r="D22" i="14"/>
  <c r="D35" i="14"/>
  <c r="D34" i="14"/>
  <c r="D33" i="14"/>
  <c r="D31" i="14"/>
  <c r="D30" i="14"/>
  <c r="D29" i="14"/>
  <c r="D28" i="14"/>
  <c r="D27" i="14"/>
  <c r="D9" i="14"/>
  <c r="D11" i="14"/>
  <c r="D12" i="14"/>
  <c r="D13" i="14"/>
  <c r="D14" i="14"/>
  <c r="D15" i="14"/>
  <c r="D16" i="14"/>
  <c r="D17" i="14"/>
  <c r="D18" i="14"/>
  <c r="D19" i="14"/>
  <c r="D21" i="14"/>
  <c r="D8" i="14"/>
  <c r="A3" i="14"/>
  <c r="B12" i="13" l="1"/>
  <c r="C12" i="13"/>
  <c r="C16" i="13"/>
  <c r="B16" i="13"/>
  <c r="C15" i="13"/>
  <c r="B15" i="13"/>
  <c r="C14" i="13"/>
  <c r="B14" i="13"/>
  <c r="C11" i="13"/>
  <c r="B11" i="13"/>
  <c r="C9" i="13"/>
  <c r="B9" i="13"/>
  <c r="C8" i="13"/>
  <c r="B8" i="13"/>
  <c r="D8" i="13" s="1"/>
  <c r="C7" i="13"/>
  <c r="B7" i="13"/>
  <c r="B80" i="12"/>
  <c r="B81" i="12" s="1"/>
  <c r="B77" i="12"/>
  <c r="B78" i="12" s="1"/>
  <c r="D75" i="12"/>
  <c r="D74" i="12"/>
  <c r="D73" i="12"/>
  <c r="D72" i="12"/>
  <c r="D70" i="12"/>
  <c r="D69" i="12"/>
  <c r="D68" i="12"/>
  <c r="D67" i="12"/>
  <c r="D66" i="12"/>
  <c r="D65" i="12"/>
  <c r="D64" i="12"/>
  <c r="D63" i="12"/>
  <c r="D62" i="12"/>
  <c r="D58" i="12"/>
  <c r="D56" i="12"/>
  <c r="D54" i="12"/>
  <c r="D53" i="12"/>
  <c r="D50" i="12"/>
  <c r="D49" i="12"/>
  <c r="D48" i="12"/>
  <c r="D46" i="12"/>
  <c r="D44" i="12"/>
  <c r="D40" i="12"/>
  <c r="D39" i="12"/>
  <c r="D38" i="12"/>
  <c r="D37" i="12"/>
  <c r="D36" i="12"/>
  <c r="D35" i="12"/>
  <c r="D33" i="12"/>
  <c r="D32" i="12"/>
  <c r="D31" i="12"/>
  <c r="D30" i="12"/>
  <c r="D29" i="12"/>
  <c r="D28" i="12"/>
  <c r="D27" i="12"/>
  <c r="D26" i="12"/>
  <c r="D25" i="12"/>
  <c r="D24" i="12"/>
  <c r="D23" i="12"/>
  <c r="D21" i="12"/>
  <c r="D20" i="12"/>
  <c r="D19" i="12"/>
  <c r="D16" i="12"/>
  <c r="D14" i="12"/>
  <c r="D10" i="12"/>
  <c r="D9" i="12"/>
  <c r="D8" i="12"/>
  <c r="D9" i="2"/>
  <c r="D10" i="2"/>
  <c r="D18" i="2"/>
  <c r="D19" i="2"/>
  <c r="D23" i="2"/>
  <c r="D24" i="2"/>
  <c r="D25" i="2"/>
  <c r="D26" i="2"/>
  <c r="D27" i="2"/>
  <c r="D29" i="2"/>
  <c r="D30" i="2"/>
  <c r="D39" i="2"/>
  <c r="D51" i="2"/>
  <c r="D56" i="2"/>
  <c r="D59" i="2"/>
  <c r="C15" i="10"/>
  <c r="C7" i="10"/>
  <c r="B7" i="10"/>
  <c r="C6" i="10"/>
  <c r="B6" i="10"/>
  <c r="D7" i="10" l="1"/>
  <c r="D6" i="10"/>
  <c r="D12" i="13"/>
  <c r="D14" i="13"/>
  <c r="D16" i="13"/>
  <c r="B13" i="13"/>
  <c r="B17" i="13" s="1"/>
  <c r="B10" i="13"/>
  <c r="C10" i="13"/>
  <c r="D9" i="13"/>
  <c r="D11" i="13"/>
  <c r="D15" i="13"/>
  <c r="D7" i="13"/>
  <c r="C13" i="13"/>
  <c r="C17" i="13" s="1"/>
  <c r="C8" i="7"/>
  <c r="B8" i="7"/>
  <c r="B15" i="7" s="1"/>
  <c r="D10" i="13" l="1"/>
  <c r="D13" i="13"/>
  <c r="D17" i="13"/>
  <c r="B17" i="10"/>
  <c r="C17" i="10"/>
  <c r="B8" i="10"/>
  <c r="B16" i="10" s="1"/>
  <c r="C8" i="10"/>
  <c r="C10" i="10"/>
  <c r="B10" i="10"/>
  <c r="C15" i="7"/>
  <c r="D8" i="7"/>
  <c r="D17" i="10" l="1"/>
  <c r="D8" i="10"/>
  <c r="D10" i="10"/>
  <c r="D15" i="7"/>
  <c r="B19" i="10"/>
  <c r="C16" i="10"/>
  <c r="C19" i="10" s="1"/>
  <c r="D19" i="10" l="1"/>
  <c r="D16" i="10"/>
  <c r="F21" i="3"/>
  <c r="F23" i="3" s="1"/>
  <c r="G32" i="3"/>
  <c r="F32" i="3"/>
  <c r="G22" i="3"/>
  <c r="G23" i="3" s="1"/>
  <c r="G18" i="3"/>
  <c r="F18" i="3"/>
  <c r="G11" i="3"/>
  <c r="F11" i="3"/>
  <c r="D28" i="1" l="1"/>
  <c r="C7" i="7" l="1"/>
  <c r="C28" i="7"/>
  <c r="D28" i="7" s="1"/>
  <c r="B7" i="7"/>
  <c r="B30" i="7" l="1"/>
  <c r="B20" i="7"/>
  <c r="B22" i="7"/>
  <c r="D30" i="7"/>
  <c r="B14" i="7"/>
  <c r="C26" i="7"/>
  <c r="B26" i="7"/>
  <c r="C16" i="7"/>
  <c r="B16" i="7"/>
  <c r="D14" i="7" l="1"/>
  <c r="D26" i="7"/>
  <c r="D20" i="7"/>
  <c r="D6" i="7"/>
  <c r="D7" i="7"/>
  <c r="D11" i="7"/>
  <c r="D13" i="7"/>
  <c r="D16" i="7"/>
  <c r="D22" i="7"/>
  <c r="D9" i="1"/>
  <c r="B5" i="7"/>
  <c r="B17" i="7" s="1"/>
  <c r="C5" i="7"/>
  <c r="C17" i="7" s="1"/>
  <c r="D17" i="7" l="1"/>
  <c r="D5" i="7"/>
  <c r="C14" i="5" l="1"/>
  <c r="C12" i="5"/>
  <c r="C11" i="5"/>
  <c r="C10" i="5"/>
  <c r="C9" i="5"/>
  <c r="C8" i="5"/>
  <c r="C7" i="5"/>
  <c r="B14" i="5"/>
  <c r="B13" i="5"/>
  <c r="B12" i="5"/>
  <c r="B11" i="5"/>
  <c r="B10" i="5"/>
  <c r="B9" i="5"/>
  <c r="B8" i="5"/>
  <c r="B7" i="5"/>
  <c r="C19" i="4"/>
  <c r="C17" i="4"/>
  <c r="C16" i="4"/>
  <c r="C15" i="4"/>
  <c r="C14" i="4"/>
  <c r="B19" i="4"/>
  <c r="B17" i="4"/>
  <c r="D17" i="4" s="1"/>
  <c r="B16" i="4"/>
  <c r="B15" i="4"/>
  <c r="B14" i="4"/>
  <c r="C9" i="4"/>
  <c r="C8" i="4"/>
  <c r="C7" i="4"/>
  <c r="B9" i="4"/>
  <c r="B8" i="4"/>
  <c r="B7" i="4"/>
  <c r="D8" i="1"/>
  <c r="B19" i="5"/>
  <c r="B16" i="5"/>
  <c r="B17" i="5" s="1"/>
  <c r="E18" i="3"/>
  <c r="E32" i="3"/>
  <c r="E21" i="3"/>
  <c r="E23" i="3" s="1"/>
  <c r="E11" i="3"/>
  <c r="B5" i="15" l="1"/>
  <c r="G5" i="15"/>
  <c r="D5" i="15"/>
  <c r="B5" i="10"/>
  <c r="D9" i="4"/>
  <c r="C10" i="4"/>
  <c r="D15" i="4"/>
  <c r="D16" i="4"/>
  <c r="C5" i="10"/>
  <c r="D5" i="10" s="1"/>
  <c r="C18" i="7"/>
  <c r="C19" i="7"/>
  <c r="D19" i="4"/>
  <c r="D14" i="4"/>
  <c r="B10" i="7"/>
  <c r="D7" i="4"/>
  <c r="D14" i="5"/>
  <c r="B20" i="5"/>
  <c r="D11" i="5"/>
  <c r="D7" i="5"/>
  <c r="B18" i="4"/>
  <c r="B9" i="15" s="1"/>
  <c r="D12" i="5"/>
  <c r="D8" i="5"/>
  <c r="C13" i="5"/>
  <c r="D13" i="5" s="1"/>
  <c r="D8" i="4"/>
  <c r="D9" i="5"/>
  <c r="D10" i="5"/>
  <c r="C18" i="4"/>
  <c r="B10" i="4"/>
  <c r="D22" i="2"/>
  <c r="D28" i="2"/>
  <c r="D31" i="2"/>
  <c r="D35" i="2"/>
  <c r="D38" i="2"/>
  <c r="D52" i="2"/>
  <c r="D68" i="2"/>
  <c r="D69" i="2"/>
  <c r="D70" i="2"/>
  <c r="D71" i="2"/>
  <c r="D72" i="2"/>
  <c r="D73" i="2"/>
  <c r="D76" i="2"/>
  <c r="D78" i="2"/>
  <c r="D8" i="2"/>
  <c r="D45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6" i="1"/>
  <c r="D37" i="1"/>
  <c r="D42" i="1"/>
  <c r="D44" i="1"/>
  <c r="D48" i="1"/>
  <c r="D52" i="1"/>
  <c r="D9" i="15" l="1"/>
  <c r="D20" i="15"/>
  <c r="B13" i="15"/>
  <c r="C29" i="7"/>
  <c r="B20" i="4"/>
  <c r="C27" i="7"/>
  <c r="C20" i="4"/>
  <c r="C9" i="10"/>
  <c r="C13" i="10" s="1"/>
  <c r="D18" i="4"/>
  <c r="B9" i="10"/>
  <c r="D10" i="4"/>
  <c r="B9" i="7"/>
  <c r="B27" i="7" s="1"/>
  <c r="B29" i="7"/>
  <c r="D29" i="7" s="1"/>
  <c r="B19" i="7"/>
  <c r="D19" i="7" s="1"/>
  <c r="D10" i="7"/>
  <c r="B83" i="2"/>
  <c r="D20" i="4" l="1"/>
  <c r="D13" i="15"/>
  <c r="D18" i="15"/>
  <c r="B13" i="10"/>
  <c r="D9" i="10"/>
  <c r="C18" i="10"/>
  <c r="C20" i="10"/>
  <c r="B20" i="10"/>
  <c r="D20" i="10" s="1"/>
  <c r="D27" i="7"/>
  <c r="B18" i="7"/>
  <c r="D18" i="7" s="1"/>
  <c r="D9" i="7"/>
  <c r="B81" i="2"/>
  <c r="B84" i="2"/>
  <c r="B18" i="10" l="1"/>
  <c r="D18" i="10" s="1"/>
  <c r="D1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</author>
  </authors>
  <commentList>
    <comment ref="C16" authorId="0" shapeId="0" xr:uid="{4A3F80D6-D338-4E19-9ED4-D92BBA1E79B6}">
      <text>
        <r>
          <rPr>
            <b/>
            <sz val="9"/>
            <color indexed="81"/>
            <rFont val="Tahoma"/>
            <family val="2"/>
          </rPr>
          <t>Simona:</t>
        </r>
        <r>
          <rPr>
            <sz val="9"/>
            <color indexed="81"/>
            <rFont val="Tahoma"/>
            <family val="2"/>
          </rPr>
          <t xml:space="preserve">
contine imprumuturi si leasing (si TS si TL)</t>
        </r>
      </text>
    </comment>
    <comment ref="D16" authorId="0" shapeId="0" xr:uid="{9283CCFD-63F8-4BAA-9F44-06EB3D2B765B}">
      <text>
        <r>
          <rPr>
            <b/>
            <sz val="9"/>
            <color indexed="81"/>
            <rFont val="Tahoma"/>
            <family val="2"/>
          </rPr>
          <t>Simona:</t>
        </r>
        <r>
          <rPr>
            <sz val="9"/>
            <color indexed="81"/>
            <rFont val="Tahoma"/>
            <family val="2"/>
          </rPr>
          <t xml:space="preserve">
contine imprumuturi si leasing (si TS si TL)</t>
        </r>
      </text>
    </comment>
  </commentList>
</comments>
</file>

<file path=xl/sharedStrings.xml><?xml version="1.0" encoding="utf-8"?>
<sst xmlns="http://schemas.openxmlformats.org/spreadsheetml/2006/main" count="473" uniqueCount="237">
  <si>
    <t>ACTIVE IMOBILIZATE - TOTAL</t>
  </si>
  <si>
    <t>ACTIVE CIRCULANTE - TOTAL</t>
  </si>
  <si>
    <t>CAPITAL</t>
  </si>
  <si>
    <t>Cifra de afaceri netă</t>
  </si>
  <si>
    <t>VENITURI DIN EXPLOATARE – TOTAL</t>
  </si>
  <si>
    <t>9. Cheltuieli cu personalul</t>
  </si>
  <si>
    <t>10.a) Ajustări de valoare privind imobilizările corporale şi necorporale</t>
  </si>
  <si>
    <t xml:space="preserve">b) Ajustări de valoare privind activele circulante </t>
  </si>
  <si>
    <t>11. Alte cheltuieli de exploatare</t>
  </si>
  <si>
    <t>CHELTUIELI DE EXPLOATARE – TOTAL</t>
  </si>
  <si>
    <t>VENITURI FINANCIARE – TOTAL</t>
  </si>
  <si>
    <t>I. IMOBILIZĂRI NECORPORALE</t>
  </si>
  <si>
    <t>II. IMOBILIZĂRI CORPORALE</t>
  </si>
  <si>
    <t>III. IMOBILIZĂRI FINANCIARE</t>
  </si>
  <si>
    <t>I. STOCURI</t>
  </si>
  <si>
    <t>I.CREANŢE</t>
  </si>
  <si>
    <t>III. INVESTIŢII PE TERMEN SCURT</t>
  </si>
  <si>
    <t>IV. CASA ŞI CONTURI LA BĂNCI</t>
  </si>
  <si>
    <t>Sume de reluat într-o perioadă de până la un an</t>
  </si>
  <si>
    <t>Sume de reluat într-o perioadă mai mare de un an</t>
  </si>
  <si>
    <t>1. Subvenţii pentru investiţii</t>
  </si>
  <si>
    <t>2. Venituri înregistrate în avans</t>
  </si>
  <si>
    <t>3. Venituri în avans aferente activelor primite prin transfer de la clienţi</t>
  </si>
  <si>
    <t>Fondul comercial negativ (ct.2075)</t>
  </si>
  <si>
    <t>1. Capital subscris vărsat</t>
  </si>
  <si>
    <t>2. Capital subscris nevărsat</t>
  </si>
  <si>
    <t>3. Patrimoniul regiei</t>
  </si>
  <si>
    <t>4. Patrimoniul institutelor naţionale de cercetare-dezvoltare</t>
  </si>
  <si>
    <t>5. Alte elemente de capitaluri proprii DR/ (CR)</t>
  </si>
  <si>
    <t>II. PRIME DE CAPITAL (ct. 104)</t>
  </si>
  <si>
    <t>III. REZERVE DIN REEVALUARE (ct. 105)</t>
  </si>
  <si>
    <t>IV. REZERVE</t>
  </si>
  <si>
    <t>Acţiuni proprii (ct 109)</t>
  </si>
  <si>
    <t>Câştiguri legate de instrumentele de capitaluri proprii</t>
  </si>
  <si>
    <t>Pierderi legate de instrumentele de capitaluri proprii</t>
  </si>
  <si>
    <t>V. PROFITUL SAU PIERDEREA REPORTAT(Ă)  - SOLD C</t>
  </si>
  <si>
    <t>VI. PROFITUL SAU PIERDEREA EXERCIŢIULUI FINANCIAR - SOLD C</t>
  </si>
  <si>
    <t>Repartizarea profitului</t>
  </si>
  <si>
    <t>INTERESE MINORITARE</t>
  </si>
  <si>
    <t>CAPITALURI PROPRII - TOTAL</t>
  </si>
  <si>
    <t>Producţia vândută</t>
  </si>
  <si>
    <t>Venituri din vânzarea mărfurilor</t>
  </si>
  <si>
    <t>Reduceri comerciale acordate</t>
  </si>
  <si>
    <t>Venituri din dobânzi înregistrate de entităţile radiate din Registrul general si care mai au in derulare contracte de leasing</t>
  </si>
  <si>
    <t>Sold C</t>
  </si>
  <si>
    <t>Sold D</t>
  </si>
  <si>
    <t>3. Venituri din producţia de imobilizari necorporale si corporale</t>
  </si>
  <si>
    <t>4. Venituri din reevaluarea imobilizărilor corporale</t>
  </si>
  <si>
    <t>5. Venituri din producţia de investiţii imobiliare</t>
  </si>
  <si>
    <t>6. Venituri din subvenții de exploatare</t>
  </si>
  <si>
    <t>7. Alte venituri din exploatare</t>
  </si>
  <si>
    <t>-din care, venituri din subvenții pentru investiții</t>
  </si>
  <si>
    <t>-din care, venituri din fondul comercial negativ</t>
  </si>
  <si>
    <t>8. a) Cheltuieli cu materiile prime şi materialele consumabil</t>
  </si>
  <si>
    <t>Alte cheltuieli materiale</t>
  </si>
  <si>
    <t>b) Alte cheltuieli externe</t>
  </si>
  <si>
    <t>c) Cheltuieli privind mărfurile</t>
  </si>
  <si>
    <t>Reduceri comerciale primite</t>
  </si>
  <si>
    <t>a) Salarii şi indemnizaţii</t>
  </si>
  <si>
    <t>b) Cheltuieli cu asigurările şi protecţia socială</t>
  </si>
  <si>
    <t>a.1) Cheltuieli</t>
  </si>
  <si>
    <t>a.2) Venituri</t>
  </si>
  <si>
    <t>b.1) Cheltuieli</t>
  </si>
  <si>
    <t>b.2) Venituri</t>
  </si>
  <si>
    <t>11.1. Cheltuieli privind prestaţiile externe</t>
  </si>
  <si>
    <t>11.2. Cheltuieli cu alte impozite, taxe şi vărsăminte asimilate; cheltuieli reprezentând transferuri şi contribuţii datorate în baza unor acte normative speciale</t>
  </si>
  <si>
    <t>11.3. Cheltuieli cu protecţia mediului înconjurător</t>
  </si>
  <si>
    <t>11.4 Cheltuieli din reevaluarea imobilizărilor corporale</t>
  </si>
  <si>
    <t>11.5. Cheltuieli privind calamităţile şi alte evenimente similare</t>
  </si>
  <si>
    <t>11.6. Alte cheltuieli</t>
  </si>
  <si>
    <t>Cheltuieli cu dobânzile de refinanţare înregistrate de entităţile radiate din Registrul general si care mai au in derulare contracte de leasing</t>
  </si>
  <si>
    <t>Ajustări privind provizioanele</t>
  </si>
  <si>
    <t>- Cheltuieli</t>
  </si>
  <si>
    <t xml:space="preserve">- Venituri </t>
  </si>
  <si>
    <t>PROFITUL SAU PIERDEREA DIN EXPLOATARE</t>
  </si>
  <si>
    <t>12. Venituri din interese de participare</t>
  </si>
  <si>
    <t>- din care, veniturile obţinute de la entităţile afiliate</t>
  </si>
  <si>
    <t>13. Venituri din dobânzi</t>
  </si>
  <si>
    <t>14. Venituri din subvenţii de exploatare pentru dobânda datorată</t>
  </si>
  <si>
    <t>15. Alte venituri financiare</t>
  </si>
  <si>
    <t>-din care, venituri din alte imobilizări financiare</t>
  </si>
  <si>
    <t>16. Ajustări de valoare privind imobilizările financiare şi investiţiile financiare deţinute ca active circulante</t>
  </si>
  <si>
    <t>17. Cheltuieli privind dobânzile</t>
  </si>
  <si>
    <t>- din care, cheltuielile în relaţia cu entităţile afiliate</t>
  </si>
  <si>
    <t>18. Alte cheltuieli financiare</t>
  </si>
  <si>
    <t>CHELTUIELI FINANCIARE – TOTAL</t>
  </si>
  <si>
    <t>PROFITUL SAU PIERDEREA FINANCIAR(Ă)</t>
  </si>
  <si>
    <t>VENITURI TOTALE</t>
  </si>
  <si>
    <t>CHELTUIELI TOTALE</t>
  </si>
  <si>
    <t>19. PROFITUL SAU PIERDEREA BRUT(Ă)</t>
  </si>
  <si>
    <t>20. Impozitul pe profit</t>
  </si>
  <si>
    <t>21. Impozitul specific unor activități</t>
  </si>
  <si>
    <t>22. Alte impozite neprezentate la elementele de mai sus</t>
  </si>
  <si>
    <t>23.  PROFITUL SAU PIERDEREA NET(Ă) A EXERCIŢIULUI FINANCIAR</t>
  </si>
  <si>
    <t>Profit sau pierdere neta aferente Intereselor minoritare</t>
  </si>
  <si>
    <t>23.  PROFITUL SAU PIERDEREA NET(Ă) AFERENT GRUPULUI</t>
  </si>
  <si>
    <t>#121 per TB</t>
  </si>
  <si>
    <t>check</t>
  </si>
  <si>
    <t>Profit / pierdere per BS</t>
  </si>
  <si>
    <t>Grupul DN AGRAR GROUP SA</t>
  </si>
  <si>
    <t>BILANȚUL SOCIETĂȚILOR CONSOLIDATE</t>
  </si>
  <si>
    <r>
      <t>(toate sumele sunt exprimate in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</si>
  <si>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r>
      <t>∆</t>
    </r>
    <r>
      <rPr>
        <b/>
        <sz val="10.1"/>
        <color theme="1"/>
        <rFont val="Calibri"/>
        <family val="2"/>
      </rPr>
      <t>%</t>
    </r>
  </si>
  <si>
    <t>CHELTUIELI ÎN AVANS</t>
  </si>
  <si>
    <t>ACTIVE CIRCULANTE NETE/DATORII CURENTE NETE</t>
  </si>
  <si>
    <t>TOTAL ACTIVE MINUS DATORII CURENTE</t>
  </si>
  <si>
    <t>VENITURI IN AVANS</t>
  </si>
  <si>
    <t>CONTUL DE PROFIT și PIERDERE CONSOLIDAT</t>
  </si>
  <si>
    <t>Indicatori financiari</t>
  </si>
  <si>
    <t>Indicatorul lichiditatii curente</t>
  </si>
  <si>
    <t>Active curente (A)</t>
  </si>
  <si>
    <t>Datorii curente (B)</t>
  </si>
  <si>
    <t>A/B</t>
  </si>
  <si>
    <t>Indicatorul gradului de indatorare</t>
  </si>
  <si>
    <t>Capital imprumutat (A)</t>
  </si>
  <si>
    <t>-</t>
  </si>
  <si>
    <t>Capital propriu (B)</t>
  </si>
  <si>
    <t>Capital angajat (B)</t>
  </si>
  <si>
    <t>Capital imprumutat = Credite peste 1 an</t>
  </si>
  <si>
    <t>Capital angajat = Capital imprumutat + Capital propriu</t>
  </si>
  <si>
    <t>Viteza de rotatie a activelor imobilizate</t>
  </si>
  <si>
    <t>Cifra de afaceri (A)</t>
  </si>
  <si>
    <t>Active imobilizate (B)</t>
  </si>
  <si>
    <t>DN AGRAR GROUP SA-consolidat</t>
  </si>
  <si>
    <t xml:space="preserve">TOTAL ACTIVE </t>
  </si>
  <si>
    <t>INDICATORI de BILANT in LEI</t>
  </si>
  <si>
    <t>DATORII: SUMELE CARE TREBUIE PLĂTITE ÎNTR-O PERIOADĂ DE PÂNĂ LA UN AN</t>
  </si>
  <si>
    <t>DATORII:SUMELE CARE TREBUIE PLATITE INTR-O PERIOADA MAI MARE DE UN AN</t>
  </si>
  <si>
    <t>PROVIZIOANE</t>
  </si>
  <si>
    <t>DATORII - TOTAL</t>
  </si>
  <si>
    <t>TOTAL CAPITALURI PROPRII si DATORII</t>
  </si>
  <si>
    <t>CONTUL DE PROFIT SI PIERDERE in LEI</t>
  </si>
  <si>
    <t>PROFITUL SAU PIERDEREA BRUT(Ă)</t>
  </si>
  <si>
    <t>PROFITUL SAU PIERDEREA NET(Ă) AFERENT GRUPULUI</t>
  </si>
  <si>
    <t>∆%</t>
  </si>
  <si>
    <t>Descriere</t>
  </si>
  <si>
    <t>Datorii comerciale</t>
  </si>
  <si>
    <t>Avansuri de la clienti</t>
  </si>
  <si>
    <t>Creditori diversi</t>
  </si>
  <si>
    <t>Salarii si alte drepturi datorate catre personal</t>
  </si>
  <si>
    <t>Contributii la asigurari sociale</t>
  </si>
  <si>
    <t>Impozitul pe venituri de natura salariilor</t>
  </si>
  <si>
    <t>Impozitul pe profit</t>
  </si>
  <si>
    <t>TVA de plata</t>
  </si>
  <si>
    <t>TOTAL</t>
  </si>
  <si>
    <t>Imprumuturi de la Exim Bank</t>
  </si>
  <si>
    <t>Imprumuturi de la ING</t>
  </si>
  <si>
    <t>Leasing BT Leasing</t>
  </si>
  <si>
    <t>Leasing BRD Sogelease</t>
  </si>
  <si>
    <t>Leasing Unicredit</t>
  </si>
  <si>
    <t xml:space="preserve">Alte datorii pe termen lung (garantii diverse) </t>
  </si>
  <si>
    <t>Impozit amanat</t>
  </si>
  <si>
    <t>Datorii pe termen lung</t>
  </si>
  <si>
    <t xml:space="preserve">Venituri aferente costului producţiei în curs de execuţie </t>
  </si>
  <si>
    <t xml:space="preserve">Datorii pe termen scurt aferente contracte de imprumut </t>
  </si>
  <si>
    <t>Datorii pe termen scurt aferente contracte de leasing</t>
  </si>
  <si>
    <t>Dividende Advies/Dat. in leg. cu asociatii</t>
  </si>
  <si>
    <t>INDICATORI</t>
  </si>
  <si>
    <t>2. EBITDA</t>
  </si>
  <si>
    <t>3. Profit net</t>
  </si>
  <si>
    <t xml:space="preserve">RON </t>
  </si>
  <si>
    <t>DN AGRAR (DN)</t>
  </si>
  <si>
    <t>1. Venituri din exploatare</t>
  </si>
  <si>
    <t>Alte datorii pe termen scurt, alte taxe si impozite</t>
  </si>
  <si>
    <t>Perioada Referinta</t>
  </si>
  <si>
    <t>4.Cifra de Afaceri</t>
  </si>
  <si>
    <t>5. Active totale</t>
  </si>
  <si>
    <t>6.Capitaluri proprii</t>
  </si>
  <si>
    <t>7. Capitalizare</t>
  </si>
  <si>
    <t>8. Număr acţiuni</t>
  </si>
  <si>
    <t>9. Marja Profit</t>
  </si>
  <si>
    <t>10. Marja EBITDA</t>
  </si>
  <si>
    <r>
      <t>11.</t>
    </r>
    <r>
      <rPr>
        <sz val="11"/>
        <color theme="1"/>
        <rFont val="Calibri"/>
        <family val="2"/>
      </rPr>
      <t xml:space="preserve"> </t>
    </r>
    <r>
      <rPr>
        <sz val="12"/>
        <color theme="1"/>
        <rFont val="Times New Roman"/>
        <family val="1"/>
      </rPr>
      <t>Rentabilitate EBITDA</t>
    </r>
  </si>
  <si>
    <r>
      <t>12.</t>
    </r>
    <r>
      <rPr>
        <sz val="11"/>
        <color theme="1"/>
        <rFont val="Calibri"/>
        <family val="2"/>
      </rPr>
      <t xml:space="preserve"> </t>
    </r>
    <r>
      <rPr>
        <sz val="12"/>
        <color theme="1"/>
        <rFont val="Times New Roman"/>
        <family val="1"/>
      </rPr>
      <t>Rentabilitate Profit</t>
    </r>
  </si>
  <si>
    <t>13. ROA</t>
  </si>
  <si>
    <t>14. ROE</t>
  </si>
  <si>
    <r>
      <t>18.</t>
    </r>
    <r>
      <rPr>
        <sz val="11"/>
        <color theme="1"/>
        <rFont val="Calibri"/>
        <family val="2"/>
      </rPr>
      <t xml:space="preserve"> </t>
    </r>
    <r>
      <rPr>
        <sz val="12"/>
        <color theme="1"/>
        <rFont val="Times New Roman"/>
        <family val="1"/>
      </rPr>
      <t>Profit consolidat/acțiune</t>
    </r>
  </si>
  <si>
    <r>
      <t>19.</t>
    </r>
    <r>
      <rPr>
        <sz val="11"/>
        <color theme="1"/>
        <rFont val="Calibri"/>
        <family val="2"/>
      </rPr>
      <t xml:space="preserve"> </t>
    </r>
    <r>
      <rPr>
        <sz val="12"/>
        <color theme="1"/>
        <rFont val="Times New Roman"/>
        <family val="1"/>
      </rPr>
      <t>Total Active la nivel consolidat/acțiune</t>
    </r>
    <r>
      <rPr>
        <sz val="12"/>
        <color theme="1"/>
        <rFont val="Times New Roman"/>
        <family val="1"/>
        <charset val="238"/>
      </rPr>
      <t>(lei)</t>
    </r>
  </si>
  <si>
    <r>
      <t>20.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Times New Roman"/>
        <family val="1"/>
      </rPr>
      <t>Activ Net Consolidat</t>
    </r>
    <r>
      <rPr>
        <sz val="12"/>
        <color theme="1"/>
        <rFont val="Times New Roman"/>
        <family val="1"/>
      </rPr>
      <t>/acțiune</t>
    </r>
    <r>
      <rPr>
        <sz val="12"/>
        <color theme="1"/>
        <rFont val="Times New Roman"/>
        <family val="1"/>
        <charset val="238"/>
      </rPr>
      <t>(lei)</t>
    </r>
  </si>
  <si>
    <r>
      <t>21.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Times New Roman"/>
        <family val="1"/>
      </rPr>
      <t>Capitaluri proprii</t>
    </r>
    <r>
      <rPr>
        <sz val="12"/>
        <color theme="1"/>
        <rFont val="Times New Roman"/>
        <family val="1"/>
      </rPr>
      <t>/acțiune</t>
    </r>
    <r>
      <rPr>
        <sz val="12"/>
        <color theme="1"/>
        <rFont val="Times New Roman"/>
        <family val="1"/>
        <charset val="238"/>
      </rPr>
      <t>(lei)</t>
    </r>
  </si>
  <si>
    <t>EBITDA to Sales</t>
  </si>
  <si>
    <t>TOTAL Income</t>
  </si>
  <si>
    <t>Entreprise Value(EV)</t>
  </si>
  <si>
    <t>TOTAL Debts</t>
  </si>
  <si>
    <t>P/E Ratio</t>
  </si>
  <si>
    <t>Net Debt to EBITDA</t>
  </si>
  <si>
    <t>Cash Equivalents</t>
  </si>
  <si>
    <t>Net Profit</t>
  </si>
  <si>
    <t>EBITDA</t>
  </si>
  <si>
    <t>Net Sales(Turn Over)</t>
  </si>
  <si>
    <t>EV/EBITDA Ratio</t>
  </si>
  <si>
    <t>Market Capitalization(BVB)</t>
  </si>
  <si>
    <t>PROFITUL SAU PIERDEREA NET(Ă) A EXERCIŢIULUI FINANCIAR</t>
  </si>
  <si>
    <t>Ajustări de valoare privind imobilizările financiare şi investiţiile financiare deţinute ca active circulante</t>
  </si>
  <si>
    <t>Alte cheltuieli de exploatare</t>
  </si>
  <si>
    <t>a) Ajustări de valoare privind imobilizările corporale şi necorporale</t>
  </si>
  <si>
    <t>Cheltuieli cu personalul</t>
  </si>
  <si>
    <t xml:space="preserve">    31/12/2023</t>
  </si>
  <si>
    <t>Varsaminte de efectuat pentru imobiliz. financiare</t>
  </si>
  <si>
    <t>Datorii pe termen scurt</t>
  </si>
  <si>
    <t xml:space="preserve">                             -  </t>
  </si>
  <si>
    <t>11.2. Cheltuieli cu redevențele, locațiile de gestiune și chiriile</t>
  </si>
  <si>
    <t>11.3. Cheltuieli aferente drepturilor de proprietate intelectuală</t>
  </si>
  <si>
    <t>11.4. Cheltuieli de management</t>
  </si>
  <si>
    <t>11.5. Cheltuieli de consultanță</t>
  </si>
  <si>
    <t>11.6. Cheltuieli cu alte impozite, taxe şi vărsăminte asimilate; cheltuieli reprezentând transferuri şi contribuţii datorate în baza unor acte normative speciale</t>
  </si>
  <si>
    <t>11.7. Cheltuieli cu protecţia mediului înconjurător</t>
  </si>
  <si>
    <t>11.8 Cheltuieli din reevaluarea imobilizărilor corporale</t>
  </si>
  <si>
    <t>11.9. Cheltuieli privind calamităţile şi alte evenimente similare</t>
  </si>
  <si>
    <t>11.10. Alte cheltuieli</t>
  </si>
  <si>
    <t>Datorii catre parti legate</t>
  </si>
  <si>
    <t>a.1) Cheltuieli de exploatare privind amortizarea imobilizărilor</t>
  </si>
  <si>
    <t xml:space="preserve">a.2) Alte cheltuieli </t>
  </si>
  <si>
    <t>a.3) Venituri</t>
  </si>
  <si>
    <t>Market Value/share  30.06.2024</t>
  </si>
  <si>
    <t>DN AGRAR (DN)  12M</t>
  </si>
  <si>
    <t>DN AGRAR (DN) 12M</t>
  </si>
  <si>
    <t>12.2023/ 12.2022</t>
  </si>
  <si>
    <t>încheiat la 30 Septembrie 2024</t>
  </si>
  <si>
    <t xml:space="preserve">                               </t>
  </si>
  <si>
    <t xml:space="preserve">    30/09/2024</t>
  </si>
  <si>
    <t xml:space="preserve">    30/09/2023</t>
  </si>
  <si>
    <t>Market Value/share  30.09.2024</t>
  </si>
  <si>
    <t>Q3 (2024 vs 2023)</t>
  </si>
  <si>
    <t>30/09/2024-30/09/2023</t>
  </si>
  <si>
    <t>22. Trailling PER 12M 09.2024-09.2023</t>
  </si>
  <si>
    <t>15. PER Q3 2024(consolidat)</t>
  </si>
  <si>
    <t>17. P/BV Q3 2024(consolidat)</t>
  </si>
  <si>
    <t>16. EPS Q3 2024(consolidat) lei/actiune</t>
  </si>
  <si>
    <t>09.2024/  12.2023</t>
  </si>
  <si>
    <t>12 Months Calculation</t>
  </si>
  <si>
    <t>16. EPS 12M 2024-2023 (consolidat) lei/actiune</t>
  </si>
  <si>
    <t>EBITDA to Sales 12M 2024-2023</t>
  </si>
  <si>
    <t>EV/EBITDA Ratio 12M 2024-2023</t>
  </si>
  <si>
    <t>P/E Ratio 12M 2024-2023</t>
  </si>
  <si>
    <t>Net Debt to EBITDA 12M 2024-2023</t>
  </si>
  <si>
    <t xml:space="preserve">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</si>
</sst>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 ;[Red]\-#,##0.00\ ;\-??"/>
    <numFmt numFmtId="167" formatCode="_ * #,##0.00_ ;_ * \-#,##0.00_ ;_ * &quot;-&quot;??_ ;_ @_ "/>
    <numFmt numFmtId="168" formatCode="#,##0;\(#,##0\)"/>
    <numFmt numFmtId="169" formatCode="#,##0.0000"/>
    <numFmt numFmtId="170" formatCode="0.0000%"/>
  </numFmts>
  <fonts count="6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CC"/>
      <name val="Arial"/>
      <family val="2"/>
    </font>
    <font>
      <b/>
      <sz val="8"/>
      <color rgb="FF0000CC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1"/>
      <color theme="1"/>
      <name val="Calibri"/>
      <family val="2"/>
    </font>
    <font>
      <b/>
      <sz val="10.1"/>
      <color theme="1"/>
      <name val="Calibri"/>
      <family val="2"/>
    </font>
    <font>
      <i/>
      <sz val="8"/>
      <color theme="1"/>
      <name val="Arial"/>
      <family val="2"/>
    </font>
    <font>
      <sz val="9"/>
      <color rgb="FF000000"/>
      <name val="Verdana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38"/>
    </font>
    <font>
      <sz val="9"/>
      <color rgb="FF000000"/>
      <name val="Verdana"/>
      <family val="2"/>
      <charset val="238"/>
    </font>
    <font>
      <b/>
      <sz val="14"/>
      <color theme="1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u/>
      <sz val="8"/>
      <color theme="10"/>
      <name val="Arial"/>
      <family val="2"/>
    </font>
    <font>
      <b/>
      <sz val="9"/>
      <color rgb="FF000000"/>
      <name val="Verdana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b/>
      <i/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5" borderId="0" applyNumberFormat="0" applyBorder="0" applyAlignment="0" applyProtection="0"/>
    <xf numFmtId="0" fontId="34" fillId="0" borderId="0"/>
    <xf numFmtId="0" fontId="36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6" borderId="10" applyNumberFormat="0" applyAlignment="0" applyProtection="0"/>
    <xf numFmtId="0" fontId="25" fillId="7" borderId="11" applyNumberFormat="0" applyAlignment="0" applyProtection="0"/>
    <xf numFmtId="0" fontId="26" fillId="7" borderId="10" applyNumberFormat="0" applyAlignment="0" applyProtection="0"/>
    <xf numFmtId="0" fontId="27" fillId="0" borderId="12" applyNumberFormat="0" applyFill="0" applyAlignment="0" applyProtection="0"/>
    <xf numFmtId="0" fontId="28" fillId="8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9" borderId="14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9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4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37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4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4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9" fontId="5" fillId="0" borderId="0" xfId="2" applyFont="1" applyAlignment="1">
      <alignment horizontal="center" vertical="top" wrapText="1"/>
    </xf>
    <xf numFmtId="165" fontId="0" fillId="0" borderId="0" xfId="0" applyNumberFormat="1"/>
    <xf numFmtId="9" fontId="0" fillId="0" borderId="0" xfId="2" applyFont="1"/>
    <xf numFmtId="165" fontId="6" fillId="0" borderId="0" xfId="1" applyNumberFormat="1" applyFont="1" applyFill="1"/>
    <xf numFmtId="0" fontId="6" fillId="0" borderId="0" xfId="0" applyFont="1"/>
    <xf numFmtId="165" fontId="6" fillId="0" borderId="0" xfId="0" applyNumberFormat="1" applyFont="1"/>
    <xf numFmtId="165" fontId="3" fillId="0" borderId="0" xfId="1" applyNumberFormat="1" applyFont="1" applyFill="1"/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right" wrapText="1"/>
    </xf>
    <xf numFmtId="1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/>
    <xf numFmtId="0" fontId="12" fillId="2" borderId="0" xfId="0" applyFont="1" applyFill="1" applyAlignment="1">
      <alignment horizontal="right" vertical="top" wrapText="1"/>
    </xf>
    <xf numFmtId="0" fontId="13" fillId="2" borderId="0" xfId="0" applyFont="1" applyFill="1" applyAlignment="1">
      <alignment horizontal="right" vertical="top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/>
    </xf>
    <xf numFmtId="9" fontId="5" fillId="0" borderId="0" xfId="2" applyFont="1" applyFill="1" applyAlignment="1">
      <alignment horizontal="center" vertical="top" wrapText="1"/>
    </xf>
    <xf numFmtId="0" fontId="6" fillId="2" borderId="0" xfId="0" applyFont="1" applyFill="1" applyAlignment="1">
      <alignment wrapText="1"/>
    </xf>
    <xf numFmtId="0" fontId="0" fillId="0" borderId="0" xfId="0" applyAlignment="1">
      <alignment vertical="center" wrapText="1"/>
    </xf>
    <xf numFmtId="165" fontId="3" fillId="0" borderId="0" xfId="1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Alignment="1">
      <alignment vertical="center"/>
    </xf>
    <xf numFmtId="10" fontId="6" fillId="0" borderId="0" xfId="0" applyNumberFormat="1" applyFont="1"/>
    <xf numFmtId="10" fontId="6" fillId="2" borderId="0" xfId="0" applyNumberFormat="1" applyFont="1" applyFill="1"/>
    <xf numFmtId="10" fontId="6" fillId="0" borderId="0" xfId="0" applyNumberFormat="1" applyFont="1" applyAlignment="1">
      <alignment vertical="center"/>
    </xf>
    <xf numFmtId="165" fontId="6" fillId="2" borderId="0" xfId="1" applyNumberFormat="1" applyFont="1" applyFill="1"/>
    <xf numFmtId="9" fontId="6" fillId="0" borderId="0" xfId="2" applyFont="1"/>
    <xf numFmtId="0" fontId="6" fillId="2" borderId="0" xfId="0" applyFont="1" applyFill="1" applyAlignment="1">
      <alignment vertical="center" wrapText="1"/>
    </xf>
    <xf numFmtId="165" fontId="6" fillId="2" borderId="0" xfId="1" applyNumberFormat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9" fontId="6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8" fillId="0" borderId="0" xfId="1" applyNumberFormat="1" applyFont="1" applyFill="1"/>
    <xf numFmtId="0" fontId="10" fillId="0" borderId="0" xfId="3" applyFont="1" applyAlignment="1">
      <alignment horizontal="left" vertical="center"/>
    </xf>
    <xf numFmtId="0" fontId="2" fillId="0" borderId="0" xfId="3"/>
    <xf numFmtId="0" fontId="10" fillId="0" borderId="0" xfId="3" applyFont="1"/>
    <xf numFmtId="15" fontId="10" fillId="0" borderId="0" xfId="3" applyNumberFormat="1" applyFont="1" applyAlignment="1">
      <alignment horizontal="right" vertical="center" wrapText="1"/>
    </xf>
    <xf numFmtId="165" fontId="0" fillId="0" borderId="0" xfId="4" applyNumberFormat="1" applyFont="1" applyFill="1" applyBorder="1" applyAlignment="1">
      <alignment horizontal="center"/>
    </xf>
    <xf numFmtId="0" fontId="10" fillId="2" borderId="1" xfId="3" applyFont="1" applyFill="1" applyBorder="1"/>
    <xf numFmtId="15" fontId="10" fillId="2" borderId="2" xfId="3" applyNumberFormat="1" applyFont="1" applyFill="1" applyBorder="1" applyAlignment="1">
      <alignment horizontal="right" vertical="center" wrapText="1"/>
    </xf>
    <xf numFmtId="0" fontId="2" fillId="0" borderId="3" xfId="3" applyBorder="1"/>
    <xf numFmtId="165" fontId="0" fillId="0" borderId="4" xfId="4" applyNumberFormat="1" applyFont="1" applyFill="1" applyBorder="1"/>
    <xf numFmtId="0" fontId="2" fillId="2" borderId="5" xfId="3" applyFill="1" applyBorder="1"/>
    <xf numFmtId="43" fontId="10" fillId="2" borderId="6" xfId="4" applyFont="1" applyFill="1" applyBorder="1"/>
    <xf numFmtId="165" fontId="10" fillId="0" borderId="0" xfId="4" applyNumberFormat="1" applyFont="1" applyFill="1" applyBorder="1"/>
    <xf numFmtId="43" fontId="10" fillId="0" borderId="0" xfId="4" applyFont="1" applyFill="1" applyBorder="1"/>
    <xf numFmtId="9" fontId="10" fillId="2" borderId="6" xfId="5" applyFont="1" applyFill="1" applyBorder="1"/>
    <xf numFmtId="9" fontId="10" fillId="0" borderId="0" xfId="5" applyFont="1" applyFill="1" applyBorder="1"/>
    <xf numFmtId="0" fontId="2" fillId="2" borderId="3" xfId="3" applyFill="1" applyBorder="1"/>
    <xf numFmtId="9" fontId="10" fillId="2" borderId="4" xfId="5" applyFont="1" applyFill="1" applyBorder="1"/>
    <xf numFmtId="0" fontId="10" fillId="0" borderId="3" xfId="3" applyFont="1" applyBorder="1"/>
    <xf numFmtId="165" fontId="10" fillId="0" borderId="4" xfId="4" applyNumberFormat="1" applyFont="1" applyFill="1" applyBorder="1"/>
    <xf numFmtId="0" fontId="18" fillId="0" borderId="3" xfId="3" applyFont="1" applyBorder="1"/>
    <xf numFmtId="0" fontId="18" fillId="0" borderId="5" xfId="3" applyFont="1" applyBorder="1"/>
    <xf numFmtId="165" fontId="0" fillId="0" borderId="6" xfId="4" applyNumberFormat="1" applyFont="1" applyFill="1" applyBorder="1"/>
    <xf numFmtId="39" fontId="10" fillId="2" borderId="6" xfId="5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9" fontId="6" fillId="0" borderId="0" xfId="2" applyFont="1" applyFill="1"/>
    <xf numFmtId="0" fontId="10" fillId="2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 wrapText="1"/>
    </xf>
    <xf numFmtId="165" fontId="2" fillId="0" borderId="0" xfId="1" applyNumberFormat="1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10" fontId="10" fillId="2" borderId="0" xfId="0" applyNumberFormat="1" applyFont="1" applyFill="1" applyAlignment="1">
      <alignment vertical="center"/>
    </xf>
    <xf numFmtId="0" fontId="40" fillId="0" borderId="18" xfId="0" applyFont="1" applyBorder="1" applyAlignment="1">
      <alignment vertical="center" wrapText="1"/>
    </xf>
    <xf numFmtId="0" fontId="40" fillId="0" borderId="17" xfId="0" applyFont="1" applyBorder="1" applyAlignment="1">
      <alignment vertical="center" wrapText="1"/>
    </xf>
    <xf numFmtId="14" fontId="40" fillId="0" borderId="17" xfId="0" applyNumberFormat="1" applyFont="1" applyBorder="1" applyAlignment="1">
      <alignment vertical="center" wrapText="1"/>
    </xf>
    <xf numFmtId="0" fontId="40" fillId="0" borderId="19" xfId="0" applyFont="1" applyBorder="1" applyAlignment="1">
      <alignment vertical="center" wrapText="1"/>
    </xf>
    <xf numFmtId="0" fontId="42" fillId="2" borderId="19" xfId="0" applyFont="1" applyFill="1" applyBorder="1" applyAlignment="1">
      <alignment vertical="center" wrapText="1"/>
    </xf>
    <xf numFmtId="0" fontId="41" fillId="2" borderId="19" xfId="0" applyFont="1" applyFill="1" applyBorder="1" applyAlignment="1">
      <alignment vertical="center" wrapText="1"/>
    </xf>
    <xf numFmtId="0" fontId="39" fillId="2" borderId="17" xfId="0" applyFont="1" applyFill="1" applyBorder="1" applyAlignment="1">
      <alignment vertical="center" wrapText="1"/>
    </xf>
    <xf numFmtId="14" fontId="40" fillId="2" borderId="18" xfId="0" applyNumberFormat="1" applyFont="1" applyFill="1" applyBorder="1" applyAlignment="1">
      <alignment vertical="center" wrapText="1"/>
    </xf>
    <xf numFmtId="4" fontId="40" fillId="0" borderId="19" xfId="0" applyNumberFormat="1" applyFont="1" applyBorder="1" applyAlignment="1">
      <alignment vertical="center" wrapText="1"/>
    </xf>
    <xf numFmtId="4" fontId="40" fillId="0" borderId="17" xfId="0" applyNumberFormat="1" applyFont="1" applyBorder="1" applyAlignment="1">
      <alignment vertical="center" wrapText="1"/>
    </xf>
    <xf numFmtId="10" fontId="40" fillId="0" borderId="6" xfId="0" applyNumberFormat="1" applyFont="1" applyBorder="1" applyAlignment="1">
      <alignment horizontal="center" vertical="center" wrapText="1"/>
    </xf>
    <xf numFmtId="10" fontId="40" fillId="0" borderId="4" xfId="0" applyNumberFormat="1" applyFont="1" applyBorder="1" applyAlignment="1">
      <alignment horizontal="center" vertical="center" wrapText="1"/>
    </xf>
    <xf numFmtId="0" fontId="40" fillId="0" borderId="20" xfId="0" applyFont="1" applyBorder="1" applyAlignment="1">
      <alignment vertical="center" wrapText="1"/>
    </xf>
    <xf numFmtId="4" fontId="40" fillId="0" borderId="20" xfId="0" applyNumberFormat="1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2" fontId="40" fillId="0" borderId="19" xfId="0" applyNumberFormat="1" applyFont="1" applyBorder="1" applyAlignment="1">
      <alignment vertical="center" wrapText="1"/>
    </xf>
    <xf numFmtId="0" fontId="41" fillId="2" borderId="1" xfId="0" applyFont="1" applyFill="1" applyBorder="1" applyAlignment="1">
      <alignment vertical="center" wrapText="1"/>
    </xf>
    <xf numFmtId="14" fontId="40" fillId="2" borderId="3" xfId="0" applyNumberFormat="1" applyFont="1" applyFill="1" applyBorder="1" applyAlignment="1">
      <alignment vertical="center" wrapText="1"/>
    </xf>
    <xf numFmtId="4" fontId="40" fillId="0" borderId="1" xfId="0" applyNumberFormat="1" applyFont="1" applyBorder="1" applyAlignment="1">
      <alignment vertical="center" wrapText="1"/>
    </xf>
    <xf numFmtId="4" fontId="40" fillId="0" borderId="21" xfId="0" applyNumberFormat="1" applyFont="1" applyBorder="1" applyAlignment="1">
      <alignment vertical="center" wrapText="1"/>
    </xf>
    <xf numFmtId="10" fontId="40" fillId="0" borderId="22" xfId="0" applyNumberFormat="1" applyFont="1" applyBorder="1" applyAlignment="1">
      <alignment horizontal="center" vertical="center" wrapText="1"/>
    </xf>
    <xf numFmtId="10" fontId="40" fillId="0" borderId="0" xfId="0" applyNumberFormat="1" applyFont="1" applyAlignment="1">
      <alignment horizontal="center" vertical="center" wrapText="1"/>
    </xf>
    <xf numFmtId="10" fontId="40" fillId="0" borderId="17" xfId="0" applyNumberFormat="1" applyFont="1" applyBorder="1" applyAlignment="1">
      <alignment vertical="center"/>
    </xf>
    <xf numFmtId="10" fontId="40" fillId="0" borderId="20" xfId="0" applyNumberFormat="1" applyFont="1" applyBorder="1" applyAlignment="1">
      <alignment vertical="center"/>
    </xf>
    <xf numFmtId="10" fontId="40" fillId="0" borderId="19" xfId="0" applyNumberFormat="1" applyFont="1" applyBorder="1" applyAlignment="1">
      <alignment vertical="center"/>
    </xf>
    <xf numFmtId="4" fontId="43" fillId="0" borderId="19" xfId="0" applyNumberFormat="1" applyFont="1" applyBorder="1"/>
    <xf numFmtId="4" fontId="40" fillId="0" borderId="22" xfId="0" applyNumberFormat="1" applyFont="1" applyBorder="1" applyAlignment="1">
      <alignment vertical="center" wrapText="1"/>
    </xf>
    <xf numFmtId="4" fontId="40" fillId="0" borderId="23" xfId="0" applyNumberFormat="1" applyFont="1" applyBorder="1" applyAlignment="1">
      <alignment vertical="center" wrapText="1"/>
    </xf>
    <xf numFmtId="4" fontId="40" fillId="0" borderId="16" xfId="0" applyNumberFormat="1" applyFont="1" applyBorder="1" applyAlignment="1">
      <alignment horizontal="right" vertical="center" wrapText="1"/>
    </xf>
    <xf numFmtId="4" fontId="40" fillId="0" borderId="24" xfId="0" applyNumberFormat="1" applyFont="1" applyBorder="1" applyAlignment="1">
      <alignment horizontal="right" vertical="center" wrapText="1"/>
    </xf>
    <xf numFmtId="10" fontId="40" fillId="0" borderId="20" xfId="0" applyNumberFormat="1" applyFont="1" applyBorder="1" applyAlignment="1">
      <alignment horizontal="center" vertical="center" wrapText="1"/>
    </xf>
    <xf numFmtId="10" fontId="40" fillId="0" borderId="23" xfId="0" applyNumberFormat="1" applyFont="1" applyBorder="1" applyAlignment="1">
      <alignment horizontal="center" vertical="center" wrapText="1"/>
    </xf>
    <xf numFmtId="3" fontId="43" fillId="0" borderId="20" xfId="0" applyNumberFormat="1" applyFont="1" applyBorder="1" applyAlignment="1">
      <alignment vertical="center"/>
    </xf>
    <xf numFmtId="3" fontId="43" fillId="0" borderId="24" xfId="0" applyNumberFormat="1" applyFont="1" applyBorder="1" applyAlignment="1">
      <alignment vertical="center"/>
    </xf>
    <xf numFmtId="0" fontId="40" fillId="34" borderId="19" xfId="0" applyFont="1" applyFill="1" applyBorder="1" applyAlignment="1">
      <alignment vertical="center" wrapText="1"/>
    </xf>
    <xf numFmtId="4" fontId="40" fillId="34" borderId="19" xfId="0" applyNumberFormat="1" applyFont="1" applyFill="1" applyBorder="1" applyAlignment="1">
      <alignment vertical="center" wrapText="1"/>
    </xf>
    <xf numFmtId="4" fontId="40" fillId="34" borderId="17" xfId="0" applyNumberFormat="1" applyFont="1" applyFill="1" applyBorder="1" applyAlignment="1">
      <alignment vertical="center" wrapText="1"/>
    </xf>
    <xf numFmtId="10" fontId="40" fillId="34" borderId="17" xfId="0" applyNumberFormat="1" applyFont="1" applyFill="1" applyBorder="1" applyAlignment="1">
      <alignment vertical="center"/>
    </xf>
    <xf numFmtId="0" fontId="40" fillId="34" borderId="17" xfId="0" applyFont="1" applyFill="1" applyBorder="1" applyAlignment="1">
      <alignment vertical="center" wrapText="1"/>
    </xf>
    <xf numFmtId="10" fontId="40" fillId="34" borderId="20" xfId="0" applyNumberFormat="1" applyFont="1" applyFill="1" applyBorder="1" applyAlignment="1">
      <alignment vertical="center"/>
    </xf>
    <xf numFmtId="0" fontId="44" fillId="34" borderId="18" xfId="0" applyFont="1" applyFill="1" applyBorder="1" applyAlignment="1">
      <alignment horizontal="center" vertical="center" wrapText="1"/>
    </xf>
    <xf numFmtId="2" fontId="44" fillId="34" borderId="19" xfId="0" applyNumberFormat="1" applyFont="1" applyFill="1" applyBorder="1" applyAlignment="1">
      <alignment horizontal="center" vertical="center" wrapText="1"/>
    </xf>
    <xf numFmtId="10" fontId="44" fillId="34" borderId="19" xfId="0" applyNumberFormat="1" applyFont="1" applyFill="1" applyBorder="1" applyAlignment="1">
      <alignment horizontal="center" vertical="center"/>
    </xf>
    <xf numFmtId="10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center"/>
    </xf>
    <xf numFmtId="10" fontId="6" fillId="2" borderId="0" xfId="0" applyNumberFormat="1" applyFont="1" applyFill="1" applyAlignment="1">
      <alignment vertical="center"/>
    </xf>
    <xf numFmtId="165" fontId="3" fillId="0" borderId="0" xfId="155" applyNumberFormat="1" applyFont="1" applyFill="1"/>
    <xf numFmtId="165" fontId="6" fillId="2" borderId="0" xfId="155" applyNumberFormat="1" applyFont="1" applyFill="1"/>
    <xf numFmtId="165" fontId="3" fillId="0" borderId="0" xfId="155" applyNumberFormat="1" applyFont="1" applyFill="1" applyAlignment="1">
      <alignment vertical="center"/>
    </xf>
    <xf numFmtId="15" fontId="10" fillId="2" borderId="2" xfId="113" applyNumberFormat="1" applyFont="1" applyFill="1" applyBorder="1" applyAlignment="1">
      <alignment horizontal="right" vertical="center" wrapText="1"/>
    </xf>
    <xf numFmtId="0" fontId="1" fillId="0" borderId="0" xfId="113"/>
    <xf numFmtId="0" fontId="46" fillId="0" borderId="0" xfId="0" applyFont="1"/>
    <xf numFmtId="14" fontId="40" fillId="34" borderId="3" xfId="0" applyNumberFormat="1" applyFont="1" applyFill="1" applyBorder="1" applyAlignment="1">
      <alignment vertical="center" wrapText="1"/>
    </xf>
    <xf numFmtId="14" fontId="40" fillId="0" borderId="3" xfId="0" applyNumberFormat="1" applyFont="1" applyBorder="1" applyAlignment="1">
      <alignment vertical="center" wrapText="1"/>
    </xf>
    <xf numFmtId="0" fontId="12" fillId="2" borderId="0" xfId="0" applyFont="1" applyFill="1" applyAlignment="1">
      <alignment horizontal="right" vertical="center" wrapText="1"/>
    </xf>
    <xf numFmtId="0" fontId="45" fillId="0" borderId="0" xfId="0" applyFont="1" applyAlignment="1">
      <alignment horizontal="right" vertical="top" wrapText="1"/>
    </xf>
    <xf numFmtId="0" fontId="45" fillId="0" borderId="0" xfId="0" applyFont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9" fontId="5" fillId="0" borderId="0" xfId="2" applyFont="1" applyAlignment="1">
      <alignment horizontal="center" vertical="center" wrapText="1"/>
    </xf>
    <xf numFmtId="14" fontId="40" fillId="34" borderId="17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165" fontId="3" fillId="0" borderId="0" xfId="1" applyNumberFormat="1" applyFont="1" applyFill="1" applyAlignment="1">
      <alignment horizontal="right" vertical="center"/>
    </xf>
    <xf numFmtId="10" fontId="0" fillId="0" borderId="0" xfId="0" applyNumberFormat="1" applyAlignment="1">
      <alignment horizontal="right" vertical="center"/>
    </xf>
    <xf numFmtId="165" fontId="6" fillId="2" borderId="0" xfId="1" applyNumberFormat="1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 vertical="center"/>
    </xf>
    <xf numFmtId="165" fontId="3" fillId="0" borderId="0" xfId="107" applyNumberFormat="1" applyFont="1" applyFill="1"/>
    <xf numFmtId="165" fontId="3" fillId="2" borderId="0" xfId="107" applyNumberFormat="1" applyFont="1" applyFill="1"/>
    <xf numFmtId="165" fontId="48" fillId="2" borderId="0" xfId="107" applyNumberFormat="1" applyFont="1" applyFill="1" applyAlignment="1">
      <alignment vertical="center"/>
    </xf>
    <xf numFmtId="165" fontId="50" fillId="2" borderId="0" xfId="107" applyNumberFormat="1" applyFont="1" applyFill="1" applyAlignment="1">
      <alignment vertical="center"/>
    </xf>
    <xf numFmtId="4" fontId="40" fillId="0" borderId="2" xfId="0" applyNumberFormat="1" applyFont="1" applyBorder="1" applyAlignment="1">
      <alignment horizontal="right" vertical="center" wrapText="1"/>
    </xf>
    <xf numFmtId="4" fontId="40" fillId="0" borderId="21" xfId="0" applyNumberFormat="1" applyFont="1" applyBorder="1" applyAlignment="1">
      <alignment horizontal="right" vertical="center" wrapText="1"/>
    </xf>
    <xf numFmtId="10" fontId="43" fillId="0" borderId="20" xfId="0" applyNumberFormat="1" applyFont="1" applyBorder="1" applyAlignment="1">
      <alignment vertical="center"/>
    </xf>
    <xf numFmtId="0" fontId="40" fillId="34" borderId="20" xfId="0" applyFont="1" applyFill="1" applyBorder="1" applyAlignment="1">
      <alignment vertical="center" wrapText="1"/>
    </xf>
    <xf numFmtId="4" fontId="40" fillId="34" borderId="2" xfId="0" applyNumberFormat="1" applyFont="1" applyFill="1" applyBorder="1" applyAlignment="1">
      <alignment horizontal="right" vertical="center" wrapText="1"/>
    </xf>
    <xf numFmtId="4" fontId="40" fillId="34" borderId="21" xfId="0" applyNumberFormat="1" applyFont="1" applyFill="1" applyBorder="1" applyAlignment="1">
      <alignment horizontal="right" vertical="center" wrapText="1"/>
    </xf>
    <xf numFmtId="0" fontId="40" fillId="2" borderId="20" xfId="0" applyFont="1" applyFill="1" applyBorder="1" applyAlignment="1">
      <alignment vertical="center" wrapText="1"/>
    </xf>
    <xf numFmtId="2" fontId="43" fillId="2" borderId="20" xfId="0" applyNumberFormat="1" applyFont="1" applyFill="1" applyBorder="1" applyAlignment="1">
      <alignment vertical="center"/>
    </xf>
    <xf numFmtId="10" fontId="40" fillId="2" borderId="20" xfId="0" applyNumberFormat="1" applyFont="1" applyFill="1" applyBorder="1" applyAlignment="1">
      <alignment vertical="center"/>
    </xf>
    <xf numFmtId="165" fontId="17" fillId="0" borderId="0" xfId="107" applyNumberFormat="1" applyFont="1" applyFill="1"/>
    <xf numFmtId="165" fontId="6" fillId="0" borderId="0" xfId="107" applyNumberFormat="1" applyFont="1" applyFill="1"/>
    <xf numFmtId="169" fontId="43" fillId="0" borderId="20" xfId="0" applyNumberFormat="1" applyFont="1" applyBorder="1" applyAlignment="1">
      <alignment vertical="center"/>
    </xf>
    <xf numFmtId="0" fontId="10" fillId="2" borderId="0" xfId="0" applyFont="1" applyFill="1" applyAlignment="1">
      <alignment vertical="center"/>
    </xf>
    <xf numFmtId="10" fontId="10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165" fontId="6" fillId="0" borderId="0" xfId="107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165" fontId="6" fillId="2" borderId="0" xfId="1" applyNumberFormat="1" applyFont="1" applyFill="1" applyAlignment="1">
      <alignment horizontal="center" vertical="center"/>
    </xf>
    <xf numFmtId="0" fontId="52" fillId="2" borderId="0" xfId="0" applyFont="1" applyFill="1" applyAlignment="1">
      <alignment horizontal="left" vertical="center" wrapText="1"/>
    </xf>
    <xf numFmtId="165" fontId="48" fillId="2" borderId="0" xfId="1" applyNumberFormat="1" applyFont="1" applyFill="1" applyAlignment="1">
      <alignment vertical="center"/>
    </xf>
    <xf numFmtId="168" fontId="53" fillId="0" borderId="0" xfId="0" applyNumberFormat="1" applyFont="1" applyAlignment="1">
      <alignment horizontal="right" vertical="center" wrapText="1"/>
    </xf>
    <xf numFmtId="2" fontId="40" fillId="34" borderId="6" xfId="0" applyNumberFormat="1" applyFont="1" applyFill="1" applyBorder="1" applyAlignment="1">
      <alignment horizontal="center" vertical="center" wrapText="1"/>
    </xf>
    <xf numFmtId="165" fontId="6" fillId="2" borderId="0" xfId="107" applyNumberFormat="1" applyFont="1" applyFill="1" applyAlignment="1">
      <alignment vertical="center"/>
    </xf>
    <xf numFmtId="165" fontId="47" fillId="0" borderId="0" xfId="107" applyNumberFormat="1" applyFont="1" applyFill="1" applyAlignment="1">
      <alignment vertical="center"/>
    </xf>
    <xf numFmtId="165" fontId="49" fillId="0" borderId="0" xfId="107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8" fontId="0" fillId="0" borderId="0" xfId="0" applyNumberFormat="1"/>
    <xf numFmtId="0" fontId="54" fillId="2" borderId="0" xfId="0" applyFont="1" applyFill="1" applyAlignment="1">
      <alignment horizontal="right" vertical="center"/>
    </xf>
    <xf numFmtId="168" fontId="54" fillId="2" borderId="0" xfId="0" applyNumberFormat="1" applyFont="1" applyFill="1" applyAlignment="1">
      <alignment horizontal="right" vertical="center" wrapText="1"/>
    </xf>
    <xf numFmtId="0" fontId="54" fillId="2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55" fillId="0" borderId="0" xfId="166" quotePrefix="1" applyFont="1"/>
    <xf numFmtId="0" fontId="53" fillId="0" borderId="0" xfId="0" applyFont="1" applyAlignment="1">
      <alignment vertical="center" wrapText="1"/>
    </xf>
    <xf numFmtId="0" fontId="53" fillId="2" borderId="0" xfId="0" applyFont="1" applyFill="1" applyAlignment="1">
      <alignment vertical="center"/>
    </xf>
    <xf numFmtId="0" fontId="54" fillId="2" borderId="0" xfId="0" applyFont="1" applyFill="1" applyAlignment="1">
      <alignment vertical="center" wrapText="1"/>
    </xf>
    <xf numFmtId="0" fontId="57" fillId="0" borderId="0" xfId="0" applyFont="1"/>
    <xf numFmtId="0" fontId="57" fillId="0" borderId="0" xfId="0" applyFont="1" applyAlignment="1">
      <alignment wrapText="1"/>
    </xf>
    <xf numFmtId="15" fontId="6" fillId="0" borderId="0" xfId="0" applyNumberFormat="1" applyFont="1" applyAlignment="1">
      <alignment horizontal="left"/>
    </xf>
    <xf numFmtId="10" fontId="54" fillId="0" borderId="0" xfId="0" applyNumberFormat="1" applyFont="1" applyAlignment="1">
      <alignment horizontal="right" vertical="center"/>
    </xf>
    <xf numFmtId="10" fontId="54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 wrapText="1"/>
    </xf>
    <xf numFmtId="165" fontId="10" fillId="2" borderId="0" xfId="1" applyNumberFormat="1" applyFont="1" applyFill="1" applyAlignment="1">
      <alignment vertical="center"/>
    </xf>
    <xf numFmtId="0" fontId="0" fillId="34" borderId="0" xfId="0" applyFill="1"/>
    <xf numFmtId="10" fontId="6" fillId="0" borderId="0" xfId="0" applyNumberFormat="1" applyFont="1" applyAlignment="1">
      <alignment horizontal="center" vertical="center"/>
    </xf>
    <xf numFmtId="165" fontId="0" fillId="0" borderId="4" xfId="1" applyNumberFormat="1" applyFont="1" applyFill="1" applyBorder="1"/>
    <xf numFmtId="165" fontId="6" fillId="2" borderId="0" xfId="107" applyNumberFormat="1" applyFont="1" applyFill="1"/>
    <xf numFmtId="14" fontId="56" fillId="2" borderId="0" xfId="0" applyNumberFormat="1" applyFont="1" applyFill="1" applyAlignment="1">
      <alignment horizontal="right" vertical="center" wrapText="1"/>
    </xf>
    <xf numFmtId="0" fontId="12" fillId="2" borderId="0" xfId="0" applyFont="1" applyFill="1" applyAlignment="1">
      <alignment horizontal="right" wrapText="1"/>
    </xf>
    <xf numFmtId="0" fontId="18" fillId="0" borderId="0" xfId="3" applyFont="1"/>
    <xf numFmtId="0" fontId="18" fillId="0" borderId="22" xfId="3" applyFont="1" applyBorder="1"/>
    <xf numFmtId="0" fontId="60" fillId="0" borderId="0" xfId="0" applyFont="1" applyAlignment="1">
      <alignment vertical="center" wrapText="1"/>
    </xf>
    <xf numFmtId="3" fontId="3" fillId="0" borderId="4" xfId="3" applyNumberFormat="1" applyFont="1" applyBorder="1"/>
    <xf numFmtId="165" fontId="3" fillId="0" borderId="4" xfId="3" applyNumberFormat="1" applyFont="1" applyBorder="1"/>
    <xf numFmtId="169" fontId="40" fillId="0" borderId="19" xfId="0" applyNumberFormat="1" applyFont="1" applyBorder="1" applyAlignment="1">
      <alignment vertical="center" wrapText="1"/>
    </xf>
    <xf numFmtId="14" fontId="40" fillId="2" borderId="0" xfId="0" applyNumberFormat="1" applyFont="1" applyFill="1" applyAlignment="1">
      <alignment vertical="center" wrapText="1"/>
    </xf>
    <xf numFmtId="4" fontId="40" fillId="0" borderId="19" xfId="0" applyNumberFormat="1" applyFont="1" applyBorder="1" applyAlignment="1">
      <alignment horizontal="right" vertical="center" wrapText="1"/>
    </xf>
    <xf numFmtId="10" fontId="40" fillId="2" borderId="19" xfId="0" applyNumberFormat="1" applyFont="1" applyFill="1" applyBorder="1" applyAlignment="1">
      <alignment vertical="center" wrapText="1"/>
    </xf>
    <xf numFmtId="10" fontId="40" fillId="2" borderId="20" xfId="0" applyNumberFormat="1" applyFont="1" applyFill="1" applyBorder="1" applyAlignment="1">
      <alignment vertical="center" wrapText="1"/>
    </xf>
    <xf numFmtId="0" fontId="13" fillId="2" borderId="19" xfId="0" applyFont="1" applyFill="1" applyBorder="1" applyAlignment="1">
      <alignment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 wrapText="1"/>
    </xf>
    <xf numFmtId="10" fontId="40" fillId="2" borderId="23" xfId="0" applyNumberFormat="1" applyFont="1" applyFill="1" applyBorder="1" applyAlignment="1">
      <alignment vertical="center"/>
    </xf>
    <xf numFmtId="14" fontId="40" fillId="34" borderId="0" xfId="0" applyNumberFormat="1" applyFont="1" applyFill="1" applyAlignment="1">
      <alignment vertical="center" wrapText="1"/>
    </xf>
    <xf numFmtId="14" fontId="40" fillId="0" borderId="0" xfId="0" applyNumberFormat="1" applyFont="1" applyAlignment="1">
      <alignment vertical="center" wrapText="1"/>
    </xf>
    <xf numFmtId="4" fontId="40" fillId="2" borderId="17" xfId="0" applyNumberFormat="1" applyFont="1" applyFill="1" applyBorder="1" applyAlignment="1">
      <alignment vertical="center" wrapText="1"/>
    </xf>
    <xf numFmtId="10" fontId="40" fillId="2" borderId="1" xfId="0" applyNumberFormat="1" applyFont="1" applyFill="1" applyBorder="1" applyAlignment="1">
      <alignment vertical="center"/>
    </xf>
    <xf numFmtId="4" fontId="40" fillId="2" borderId="22" xfId="0" applyNumberFormat="1" applyFont="1" applyFill="1" applyBorder="1" applyAlignment="1">
      <alignment vertical="center" wrapText="1"/>
    </xf>
    <xf numFmtId="10" fontId="0" fillId="0" borderId="0" xfId="0" applyNumberFormat="1"/>
    <xf numFmtId="0" fontId="13" fillId="2" borderId="0" xfId="0" applyFont="1" applyFill="1" applyAlignment="1">
      <alignment horizontal="center" vertical="center"/>
    </xf>
    <xf numFmtId="10" fontId="40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2" fontId="13" fillId="2" borderId="0" xfId="0" applyNumberFormat="1" applyFont="1" applyFill="1" applyAlignment="1">
      <alignment horizontal="center" vertical="center"/>
    </xf>
    <xf numFmtId="4" fontId="40" fillId="0" borderId="3" xfId="0" applyNumberFormat="1" applyFont="1" applyBorder="1" applyAlignment="1">
      <alignment vertical="center"/>
    </xf>
    <xf numFmtId="4" fontId="40" fillId="0" borderId="0" xfId="0" applyNumberFormat="1" applyFont="1" applyAlignment="1">
      <alignment vertical="center"/>
    </xf>
    <xf numFmtId="4" fontId="40" fillId="34" borderId="3" xfId="0" applyNumberFormat="1" applyFont="1" applyFill="1" applyBorder="1" applyAlignment="1">
      <alignment vertical="center"/>
    </xf>
    <xf numFmtId="4" fontId="40" fillId="34" borderId="0" xfId="0" applyNumberFormat="1" applyFont="1" applyFill="1" applyAlignment="1">
      <alignment vertical="center"/>
    </xf>
    <xf numFmtId="4" fontId="44" fillId="34" borderId="3" xfId="0" applyNumberFormat="1" applyFont="1" applyFill="1" applyBorder="1" applyAlignment="1">
      <alignment horizontal="center" vertical="center"/>
    </xf>
    <xf numFmtId="4" fontId="44" fillId="34" borderId="0" xfId="0" applyNumberFormat="1" applyFont="1" applyFill="1" applyAlignment="1">
      <alignment horizontal="center" vertical="center"/>
    </xf>
    <xf numFmtId="0" fontId="40" fillId="34" borderId="1" xfId="0" applyFont="1" applyFill="1" applyBorder="1" applyAlignment="1">
      <alignment vertical="center" wrapText="1"/>
    </xf>
    <xf numFmtId="2" fontId="40" fillId="34" borderId="19" xfId="0" applyNumberFormat="1" applyFont="1" applyFill="1" applyBorder="1" applyAlignment="1">
      <alignment vertical="center" wrapText="1"/>
    </xf>
    <xf numFmtId="10" fontId="40" fillId="34" borderId="19" xfId="0" applyNumberFormat="1" applyFont="1" applyFill="1" applyBorder="1" applyAlignment="1">
      <alignment vertical="center"/>
    </xf>
    <xf numFmtId="165" fontId="47" fillId="0" borderId="0" xfId="107" applyNumberFormat="1" applyFont="1" applyFill="1"/>
    <xf numFmtId="165" fontId="49" fillId="0" borderId="0" xfId="107" applyNumberFormat="1" applyFont="1" applyFill="1"/>
    <xf numFmtId="4" fontId="40" fillId="0" borderId="18" xfId="0" applyNumberFormat="1" applyFont="1" applyBorder="1" applyAlignment="1">
      <alignment vertical="center"/>
    </xf>
    <xf numFmtId="10" fontId="40" fillId="0" borderId="18" xfId="0" applyNumberFormat="1" applyFont="1" applyBorder="1" applyAlignment="1">
      <alignment vertical="center"/>
    </xf>
    <xf numFmtId="4" fontId="40" fillId="34" borderId="18" xfId="0" applyNumberFormat="1" applyFont="1" applyFill="1" applyBorder="1" applyAlignment="1">
      <alignment vertical="center"/>
    </xf>
    <xf numFmtId="2" fontId="44" fillId="34" borderId="18" xfId="0" applyNumberFormat="1" applyFont="1" applyFill="1" applyBorder="1" applyAlignment="1">
      <alignment horizontal="center" vertical="center" wrapText="1"/>
    </xf>
    <xf numFmtId="2" fontId="0" fillId="0" borderId="18" xfId="0" applyNumberFormat="1" applyBorder="1" applyAlignment="1">
      <alignment vertical="center"/>
    </xf>
    <xf numFmtId="10" fontId="43" fillId="0" borderId="18" xfId="0" applyNumberFormat="1" applyFont="1" applyBorder="1" applyAlignment="1">
      <alignment vertical="center"/>
    </xf>
    <xf numFmtId="10" fontId="40" fillId="0" borderId="18" xfId="0" applyNumberFormat="1" applyFont="1" applyBorder="1" applyAlignment="1">
      <alignment horizontal="center" vertical="center" wrapText="1"/>
    </xf>
    <xf numFmtId="2" fontId="40" fillId="0" borderId="18" xfId="0" applyNumberFormat="1" applyFont="1" applyBorder="1" applyAlignment="1">
      <alignment vertical="center" wrapText="1"/>
    </xf>
    <xf numFmtId="169" fontId="40" fillId="0" borderId="18" xfId="0" applyNumberFormat="1" applyFont="1" applyBorder="1" applyAlignment="1">
      <alignment vertical="center" wrapText="1"/>
    </xf>
    <xf numFmtId="4" fontId="40" fillId="34" borderId="18" xfId="0" applyNumberFormat="1" applyFont="1" applyFill="1" applyBorder="1" applyAlignment="1">
      <alignment vertical="center" wrapText="1"/>
    </xf>
    <xf numFmtId="2" fontId="40" fillId="34" borderId="18" xfId="0" applyNumberFormat="1" applyFont="1" applyFill="1" applyBorder="1" applyAlignment="1">
      <alignment horizontal="center" vertical="center" wrapText="1"/>
    </xf>
    <xf numFmtId="4" fontId="44" fillId="34" borderId="18" xfId="0" applyNumberFormat="1" applyFont="1" applyFill="1" applyBorder="1" applyAlignment="1">
      <alignment horizontal="center" vertical="center"/>
    </xf>
    <xf numFmtId="0" fontId="44" fillId="34" borderId="27" xfId="0" applyFont="1" applyFill="1" applyBorder="1" applyAlignment="1">
      <alignment horizontal="center" vertical="center" wrapText="1"/>
    </xf>
    <xf numFmtId="2" fontId="44" fillId="34" borderId="28" xfId="0" applyNumberFormat="1" applyFont="1" applyFill="1" applyBorder="1" applyAlignment="1">
      <alignment horizontal="center" vertical="center" wrapText="1"/>
    </xf>
    <xf numFmtId="2" fontId="44" fillId="34" borderId="26" xfId="0" applyNumberFormat="1" applyFont="1" applyFill="1" applyBorder="1" applyAlignment="1">
      <alignment horizontal="center" vertical="center" wrapText="1"/>
    </xf>
    <xf numFmtId="10" fontId="44" fillId="34" borderId="25" xfId="0" applyNumberFormat="1" applyFont="1" applyFill="1" applyBorder="1" applyAlignment="1">
      <alignment horizontal="center" vertical="center"/>
    </xf>
    <xf numFmtId="170" fontId="0" fillId="0" borderId="0" xfId="0" applyNumberFormat="1"/>
    <xf numFmtId="0" fontId="13" fillId="2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72">
    <cellStyle name="20% - Accent1 2" xfId="93" xr:uid="{CF6B3640-4E37-445B-8CE2-01754498E58A}"/>
    <cellStyle name="20% - Accent1 2 2" xfId="133" xr:uid="{79574260-2A7A-46CE-A996-6553D17B303F}"/>
    <cellStyle name="20% - Accent1 3" xfId="56" xr:uid="{419D55B1-DCD6-479F-93DC-3F88BE93C5F8}"/>
    <cellStyle name="20% - Accent1 3 2" xfId="114" xr:uid="{4F3E7A8C-C77C-4685-835F-089F2CEE924B}"/>
    <cellStyle name="20% - Accent2 2" xfId="94" xr:uid="{47D315DF-0E5F-4C79-9184-BC631493BC99}"/>
    <cellStyle name="20% - Accent2 2 2" xfId="134" xr:uid="{228553FA-F8EB-4701-A87D-9538FCF46E07}"/>
    <cellStyle name="20% - Accent2 3" xfId="60" xr:uid="{7A902761-266A-486B-A6B4-FCCC1ACA6ECF}"/>
    <cellStyle name="20% - Accent2 3 2" xfId="116" xr:uid="{00AB7AEF-020D-4CA2-AF79-C43CEAF834AA}"/>
    <cellStyle name="20% - Accent3 2" xfId="95" xr:uid="{052240BD-6D64-49EA-BF43-E28D40EEAD1C}"/>
    <cellStyle name="20% - Accent3 2 2" xfId="135" xr:uid="{06D0A0E7-C3B1-4D0E-8A7C-6A9B53802BE5}"/>
    <cellStyle name="20% - Accent3 3" xfId="64" xr:uid="{700FE9BE-D6C9-4EF7-AF79-2D9AAE33DC3B}"/>
    <cellStyle name="20% - Accent3 3 2" xfId="118" xr:uid="{E1E5DB15-96C0-4903-B70F-DE0B992EE28E}"/>
    <cellStyle name="20% - Accent4 2" xfId="96" xr:uid="{529D09AB-2E11-4F22-8DB2-E4784A4E72A5}"/>
    <cellStyle name="20% - Accent4 2 2" xfId="136" xr:uid="{43DC23DB-B3FA-4F9C-8692-53E47F2A7943}"/>
    <cellStyle name="20% - Accent4 3" xfId="68" xr:uid="{DBA85CF4-E667-4B66-ABC8-4524CEC37F67}"/>
    <cellStyle name="20% - Accent4 3 2" xfId="120" xr:uid="{FF250F9D-6F8A-4C79-959F-CC760D14F08A}"/>
    <cellStyle name="20% - Accent5 2" xfId="97" xr:uid="{DFF15F4E-0E26-4C86-B93D-C7897CD72022}"/>
    <cellStyle name="20% - Accent5 2 2" xfId="137" xr:uid="{CCC76D5D-5157-4791-BFBD-E01B92AE6EE1}"/>
    <cellStyle name="20% - Accent5 3" xfId="72" xr:uid="{EB2E2658-5181-404C-AE38-CA8157D07CC4}"/>
    <cellStyle name="20% - Accent5 3 2" xfId="122" xr:uid="{A9503B87-5EA6-4451-A55C-F2B45EA90B5C}"/>
    <cellStyle name="20% - Accent6 2" xfId="98" xr:uid="{B1876B2A-6571-4377-937A-45B5C1920277}"/>
    <cellStyle name="20% - Accent6 2 2" xfId="138" xr:uid="{8F738ADA-5705-46C1-9688-3BDF1CF0A1DB}"/>
    <cellStyle name="20% - Accent6 3" xfId="76" xr:uid="{EA5612CF-DC3C-4E90-96C6-2DBDE8B0D29F}"/>
    <cellStyle name="20% - Accent6 3 2" xfId="124" xr:uid="{BD788467-48B5-4342-BFAF-51BF3E8A66C7}"/>
    <cellStyle name="40% - Accent1 2" xfId="99" xr:uid="{99237DAD-C741-456C-AF3C-A3F8228F58B2}"/>
    <cellStyle name="40% - Accent1 2 2" xfId="139" xr:uid="{D9DF09E2-CAA6-4B2B-82FB-856B7FDC703E}"/>
    <cellStyle name="40% - Accent1 3" xfId="57" xr:uid="{848C7889-6323-441D-ADB5-53B734D7A2DA}"/>
    <cellStyle name="40% - Accent1 3 2" xfId="115" xr:uid="{EA4CBC16-ECC7-48F0-B6DF-C1224BB6B07F}"/>
    <cellStyle name="40% - Accent2 2" xfId="100" xr:uid="{A6D86667-C1EC-458E-8ECC-F2F350A64432}"/>
    <cellStyle name="40% - Accent2 2 2" xfId="140" xr:uid="{B164543E-5CAA-4DB8-9266-8B808303E36D}"/>
    <cellStyle name="40% - Accent2 3" xfId="61" xr:uid="{B242C2FC-0402-4D55-B3FF-869F729AA919}"/>
    <cellStyle name="40% - Accent2 3 2" xfId="117" xr:uid="{D6C41762-0118-48D0-90B3-94E9485409AF}"/>
    <cellStyle name="40% - Accent3 2" xfId="101" xr:uid="{C2E40A7B-845A-4A10-BE9B-2FB122CCCCB3}"/>
    <cellStyle name="40% - Accent3 2 2" xfId="141" xr:uid="{36263499-2527-427A-B176-A206C2254051}"/>
    <cellStyle name="40% - Accent3 3" xfId="65" xr:uid="{C5BF203E-5479-4F31-AE51-808FBBD40EC7}"/>
    <cellStyle name="40% - Accent3 3 2" xfId="119" xr:uid="{E2D63DE7-29C6-42A6-B2C3-7402252C5A55}"/>
    <cellStyle name="40% - Accent4 2" xfId="102" xr:uid="{CF8EE7DA-C83D-4366-8360-7C1DB068E287}"/>
    <cellStyle name="40% - Accent4 2 2" xfId="142" xr:uid="{4B8E97B0-E11E-40C9-A12D-9DB200A9D4D7}"/>
    <cellStyle name="40% - Accent4 3" xfId="69" xr:uid="{712B9B9E-6161-42BA-AC1A-5144BAB748EA}"/>
    <cellStyle name="40% - Accent4 3 2" xfId="121" xr:uid="{12A7C466-12B5-4638-8ABE-D6C142166C7A}"/>
    <cellStyle name="40% - Accent5 2" xfId="103" xr:uid="{8CE19373-4AA9-4363-9BB7-C4835BC04C00}"/>
    <cellStyle name="40% - Accent5 2 2" xfId="143" xr:uid="{21F46D4B-C267-475D-A7A8-1EFB34D5DE00}"/>
    <cellStyle name="40% - Accent5 3" xfId="73" xr:uid="{A3C66367-8317-46AE-8557-06B3B7987F87}"/>
    <cellStyle name="40% - Accent5 3 2" xfId="123" xr:uid="{2DBC1ECA-A251-4E1B-82FE-B4D763BCBDBF}"/>
    <cellStyle name="40% - Accent6 2" xfId="104" xr:uid="{7E1BBC2C-9A87-4C77-A7E6-E2D8E195C9E9}"/>
    <cellStyle name="40% - Accent6 2 2" xfId="144" xr:uid="{C28E95D3-67DA-4B55-ACDC-30CEE8E05AB9}"/>
    <cellStyle name="40% - Accent6 3" xfId="77" xr:uid="{8382E341-74A3-480C-A33B-0A0BF973E2AD}"/>
    <cellStyle name="40% - Accent6 3 2" xfId="125" xr:uid="{94ED526D-18CB-4D09-AF29-3141AA2C704F}"/>
    <cellStyle name="60% - Accent1 2" xfId="58" xr:uid="{A626FAB2-B0AD-445F-85D7-A2CE0C57F6BE}"/>
    <cellStyle name="60% - Accent2 2" xfId="62" xr:uid="{C75E4A8D-8071-42B8-ACA4-ECE04F13707D}"/>
    <cellStyle name="60% - Accent3 2" xfId="66" xr:uid="{2272C22C-9080-4922-AA66-E752CA52BFB0}"/>
    <cellStyle name="60% - Accent4 2" xfId="70" xr:uid="{862ED48F-B754-4D01-8BA3-92E5DBFA274B}"/>
    <cellStyle name="60% - Accent5 2" xfId="74" xr:uid="{B8717104-9266-40EA-A9FF-AB681F6E4C28}"/>
    <cellStyle name="60% - Accent6 2" xfId="78" xr:uid="{EA5F1DC4-A57B-4DB0-AEE5-5A7051EEDE65}"/>
    <cellStyle name="Accent1 2" xfId="55" xr:uid="{F8F32F30-2540-493E-AC10-CC3F71371A50}"/>
    <cellStyle name="Accent2 2" xfId="59" xr:uid="{86463566-4A2B-45CA-8958-70613BC991E1}"/>
    <cellStyle name="Accent3 2" xfId="63" xr:uid="{35EEFAFD-B295-4D44-86D7-EB53961D28E0}"/>
    <cellStyle name="Accent4 2" xfId="67" xr:uid="{2F902E23-8455-4F33-A1EE-167B48DCAB0E}"/>
    <cellStyle name="Accent5 2" xfId="71" xr:uid="{E816065B-480B-4055-A432-834B2C8644C2}"/>
    <cellStyle name="Accent6 2" xfId="75" xr:uid="{0744F19F-A5CE-462B-9D7E-D63A82DE2019}"/>
    <cellStyle name="Bad 2" xfId="46" xr:uid="{DAC69A49-D82B-4FF6-A927-762CD7BFCF31}"/>
    <cellStyle name="Calculation 2" xfId="49" xr:uid="{6F9C9472-0C10-4324-A3CB-5B1341DE0115}"/>
    <cellStyle name="Check Cell 2" xfId="51" xr:uid="{5C1ED429-E723-48AA-A7A1-F035E3C51C88}"/>
    <cellStyle name="Comma" xfId="1" builtinId="3"/>
    <cellStyle name="Comma 10" xfId="167" xr:uid="{AB7B049C-9C91-4309-9386-3D9A85848CBF}"/>
    <cellStyle name="Comma 2" xfId="4" xr:uid="{A8CF0507-F1E5-4F62-AAB3-F5D4B59DC57D}"/>
    <cellStyle name="Comma 2 2" xfId="107" xr:uid="{10AEC3BB-5B08-4038-A0D8-F7A16FAB13ED}"/>
    <cellStyle name="Comma 2 2 2" xfId="158" xr:uid="{0FB35E16-78A7-4EAC-ACDD-79C3CC13F9C2}"/>
    <cellStyle name="Comma 2 2 2 2" xfId="161" xr:uid="{27465CE3-2582-42A9-BB51-D57209858FC1}"/>
    <cellStyle name="Comma 2 2 2 3" xfId="163" xr:uid="{05365C02-8D66-4885-887B-09F5B1E7E3F7}"/>
    <cellStyle name="Comma 2 2 2 4" xfId="165" xr:uid="{71AFCA7E-9667-4228-B471-36DE696276D0}"/>
    <cellStyle name="Comma 2 2 2 5" xfId="169" xr:uid="{A527906A-05DA-4372-A523-01A8C9E64180}"/>
    <cellStyle name="Comma 2 2 2 6" xfId="171" xr:uid="{30B40A36-D5CC-470E-A87F-2CE9A3BD24C8}"/>
    <cellStyle name="Comma 2 3" xfId="127" xr:uid="{2CB37F58-B7FE-49FC-B45D-43479CBC109D}"/>
    <cellStyle name="Comma 2 4" xfId="80" xr:uid="{EF2A04EC-E1DF-4E9B-872E-4ACA22BD7607}"/>
    <cellStyle name="Comma 3" xfId="82" xr:uid="{AB81AC78-07E0-45ED-8495-4FEC180C4B73}"/>
    <cellStyle name="Comma 4" xfId="108" xr:uid="{5C0BE93E-08CE-48C3-BA6E-940BB7CE09AC}"/>
    <cellStyle name="Comma 4 2" xfId="146" xr:uid="{0FCD9E52-3EBD-4909-A852-AE9CA0ABE1D7}"/>
    <cellStyle name="Comma 5" xfId="111" xr:uid="{833247B5-E454-4575-ADE8-1ECDB230E1DB}"/>
    <cellStyle name="Comma 6" xfId="150" xr:uid="{EACF78B7-FD79-4BC9-ACAA-F12267027FE2}"/>
    <cellStyle name="Comma 7" xfId="154" xr:uid="{F35A9F57-F895-4DD6-B384-C0EB6B0F3174}"/>
    <cellStyle name="Comma 7 2" xfId="157" xr:uid="{BFC6F603-1A86-4003-9D91-059C1A8B9987}"/>
    <cellStyle name="Comma 7 3" xfId="160" xr:uid="{573C5A4C-8782-4174-86EC-538FC60E48C4}"/>
    <cellStyle name="Comma 7 4" xfId="162" xr:uid="{CB71239B-FD40-4F28-BE40-5722C1F0F854}"/>
    <cellStyle name="Comma 7 5" xfId="164" xr:uid="{5D5A72EF-DB0A-48E2-A4A1-2CA0EB561389}"/>
    <cellStyle name="Comma 7 6" xfId="168" xr:uid="{797CEEC8-5211-4108-BD5B-A0115D3CEAA3}"/>
    <cellStyle name="Comma 7 7" xfId="170" xr:uid="{BEA9802C-7631-47D8-8BB0-DFFE1E2BEC84}"/>
    <cellStyle name="Comma 8" xfId="6" xr:uid="{F3B6B22F-4408-44DD-BBBF-A412A4BEF1AB}"/>
    <cellStyle name="Comma 9" xfId="155" xr:uid="{6A985FB1-8860-4958-96E6-1B3D6CD1EACA}"/>
    <cellStyle name="Explanatory Text 2" xfId="53" xr:uid="{3AA3DCE3-2F34-439D-B6D7-BE58C530D39D}"/>
    <cellStyle name="Good 2" xfId="45" xr:uid="{177F5DF0-1D94-4BFC-AD37-C851032057A8}"/>
    <cellStyle name="Heading 1 2" xfId="41" xr:uid="{0A7421A6-D6C7-4365-95FD-051B62B8B9B7}"/>
    <cellStyle name="Heading 2 2" xfId="42" xr:uid="{A039893D-23CF-41CE-9383-3ABE3BB04251}"/>
    <cellStyle name="Heading 3 2" xfId="43" xr:uid="{758BF753-980B-40AA-9A12-DDF80198A1E4}"/>
    <cellStyle name="Heading 4 2" xfId="44" xr:uid="{3ACD8483-4B26-4A88-AE9E-F55264DC3ECC}"/>
    <cellStyle name="Hyperlink 2" xfId="166" xr:uid="{68CD2D30-DCB6-4F96-92D9-213B05621C08}"/>
    <cellStyle name="Input 2" xfId="47" xr:uid="{0B7A5234-B320-4835-8764-E45C52FDC567}"/>
    <cellStyle name="Linked Cell 2" xfId="50" xr:uid="{9FDC0A05-5363-45DC-BA63-2CE339BF25E5}"/>
    <cellStyle name="Neutral 2" xfId="38" xr:uid="{CE6E0B10-43B1-42F0-8CDA-3F219225FF1C}"/>
    <cellStyle name="Normal" xfId="0" builtinId="0"/>
    <cellStyle name="Normal 10" xfId="16" xr:uid="{5E3D345A-2489-4E04-AEB2-955E3084929B}"/>
    <cellStyle name="Normal 11" xfId="17" xr:uid="{8E94A682-1BDF-4998-99D2-61FC76A6F912}"/>
    <cellStyle name="Normal 12" xfId="18" xr:uid="{146D9213-1B94-40A5-A790-D0B3CE189FC3}"/>
    <cellStyle name="Normal 13" xfId="19" xr:uid="{24C81EBE-D6CF-4B26-92C1-BB7E7EB28495}"/>
    <cellStyle name="Normal 14" xfId="20" xr:uid="{C3581807-ACE5-4F63-8CA4-0686712AAAAA}"/>
    <cellStyle name="Normal 15" xfId="21" xr:uid="{34B176B4-7FBE-4748-BADC-18C8BC2C600A}"/>
    <cellStyle name="Normal 16" xfId="22" xr:uid="{75218D18-2F42-46DB-A349-4357A39D0D7A}"/>
    <cellStyle name="Normal 17" xfId="23" xr:uid="{74FA5890-01CC-4399-877C-13DF9503C249}"/>
    <cellStyle name="Normal 18" xfId="24" xr:uid="{01970F3F-762F-4A66-9815-9BDE2D0B3A76}"/>
    <cellStyle name="Normal 19" xfId="25" xr:uid="{8BE77439-A8E4-4400-8E26-7543AA899F5E}"/>
    <cellStyle name="Normal 2" xfId="3" xr:uid="{36C46AD4-E6CC-4E32-AFD0-4C6495910196}"/>
    <cellStyle name="Normal 2 2" xfId="106" xr:uid="{C46BBFE4-94E5-4608-9DAE-1701C455F82B}"/>
    <cellStyle name="Normal 2 3" xfId="113" xr:uid="{8F027F53-E5BF-4609-A345-E1E3E0E6F35D}"/>
    <cellStyle name="Normal 2 3 2" xfId="148" xr:uid="{354AAC0B-9C73-4A46-A1A8-93C423BA3DAB}"/>
    <cellStyle name="Normal 2 4" xfId="8" xr:uid="{B887EB36-2F04-436C-891A-227181B8102A}"/>
    <cellStyle name="Normal 20" xfId="26" xr:uid="{811C3CD9-DDB2-43F6-94B2-58F475F281C7}"/>
    <cellStyle name="Normal 21" xfId="27" xr:uid="{E644EFEC-04C7-4873-8BF3-59B1406081E4}"/>
    <cellStyle name="Normal 22" xfId="28" xr:uid="{D5C294F9-3EFC-4242-B903-6D38CA37F94C}"/>
    <cellStyle name="Normal 23" xfId="29" xr:uid="{9B35714F-BB5B-4EAF-BFAF-ACA24687A168}"/>
    <cellStyle name="Normal 24" xfId="30" xr:uid="{92D27364-E0A0-499F-89C7-5E9159D17D57}"/>
    <cellStyle name="Normal 25" xfId="39" xr:uid="{CC85814D-199B-4579-9228-590C764D3BB5}"/>
    <cellStyle name="Normal 26" xfId="31" xr:uid="{0B50923F-4923-4706-9F6B-40CE92B9CAAB}"/>
    <cellStyle name="Normal 26 2" xfId="86" xr:uid="{AC94D171-A0A9-4478-8EC6-36A7FD3A3C92}"/>
    <cellStyle name="Normal 27" xfId="37" xr:uid="{43B30DAA-6665-4C36-9888-023D40A3966F}"/>
    <cellStyle name="Normal 28" xfId="32" xr:uid="{7CB1C92C-4B40-4F7B-910B-C6E6B50EFC75}"/>
    <cellStyle name="Normal 28 2" xfId="88" xr:uid="{83DEF553-6193-4715-A652-EE9049AB5B55}"/>
    <cellStyle name="Normal 29" xfId="33" xr:uid="{C8553E3C-B04A-4180-87C6-28EF052C1D6A}"/>
    <cellStyle name="Normal 29 2" xfId="89" xr:uid="{978D66A4-5B41-4123-9A04-BA3FB1A2DFB0}"/>
    <cellStyle name="Normal 3" xfId="9" xr:uid="{604F4EA3-F170-4FA1-911B-B544A44A5BB9}"/>
    <cellStyle name="Normal 30" xfId="34" xr:uid="{EB9D0106-9365-4396-95C1-85F767C242A8}"/>
    <cellStyle name="Normal 31" xfId="35" xr:uid="{152835BE-D68C-4A27-937D-0E1991CF4F66}"/>
    <cellStyle name="Normal 32" xfId="36" xr:uid="{9C829F32-6896-4701-8317-304C10B2E20F}"/>
    <cellStyle name="Normal 32 2" xfId="90" xr:uid="{EFD86D96-44AA-4417-BE1A-2431265E9536}"/>
    <cellStyle name="Normal 33" xfId="81" xr:uid="{5494588E-C540-4C23-B73B-ABC5A7F66601}"/>
    <cellStyle name="Normal 33 2" xfId="128" xr:uid="{23876187-1F17-45DE-8DFD-DD20CB771BCD}"/>
    <cellStyle name="Normal 34" xfId="84" xr:uid="{24DE93C7-6337-4288-9468-155BCE92925A}"/>
    <cellStyle name="Normal 34 2" xfId="85" xr:uid="{1C09D719-FBF3-43EA-AD78-6292D832407C}"/>
    <cellStyle name="Normal 34 2 2" xfId="130" xr:uid="{BDB26C9E-5D0A-4EFA-9215-3205044FC184}"/>
    <cellStyle name="Normal 34 3" xfId="129" xr:uid="{87AB356F-7E7D-4FA7-943C-CD947F81966A}"/>
    <cellStyle name="Normal 35" xfId="91" xr:uid="{066B19C1-2465-4CEF-A82C-FD7C76AA59CB}"/>
    <cellStyle name="Normal 35 2" xfId="131" xr:uid="{01F76A8D-EC85-4FD7-857D-35BF422B4FF8}"/>
    <cellStyle name="Normal 36" xfId="92" xr:uid="{65573DBB-EE33-4A9E-9DF0-23761C2B30F0}"/>
    <cellStyle name="Normal 36 2" xfId="132" xr:uid="{BB5339BB-5C9D-4806-AC1B-930129DCDB60}"/>
    <cellStyle name="Normal 37" xfId="7" xr:uid="{3DE5BEA1-F150-4B9A-A64A-27A0888F92C2}"/>
    <cellStyle name="Normal 38" xfId="109" xr:uid="{D9CC5C8C-3B2C-4ABF-80EB-56595CB65D7E}"/>
    <cellStyle name="Normal 38 2" xfId="147" xr:uid="{BF781F5D-185D-454D-B89F-217AB005BE01}"/>
    <cellStyle name="Normal 39" xfId="112" xr:uid="{0ADDB660-BB34-437E-B351-D39B37D17A9A}"/>
    <cellStyle name="Normal 4" xfId="10" xr:uid="{4248F26C-5CD3-4063-867E-5C04B7806E66}"/>
    <cellStyle name="Normal 40" xfId="149" xr:uid="{A8713898-2B0A-41AB-B2F8-8486565733E6}"/>
    <cellStyle name="Normal 41" xfId="151" xr:uid="{33110500-EA2A-4950-A54E-BCCF7C9F33F9}"/>
    <cellStyle name="Normal 42" xfId="152" xr:uid="{19EFE38F-D707-4A12-B691-CA2BE8A7D5C7}"/>
    <cellStyle name="Normal 43" xfId="153" xr:uid="{DFE5F3C4-9EEB-4BDF-8D0C-8E0903170975}"/>
    <cellStyle name="Normal 5" xfId="11" xr:uid="{A05DD5A2-F8F9-410C-9D2B-EE709373C828}"/>
    <cellStyle name="Normal 6" xfId="12" xr:uid="{3039CDEB-6847-4799-B8CF-86ACE6A2F46C}"/>
    <cellStyle name="Normal 7" xfId="13" xr:uid="{8B6C65E5-F5D8-4810-8866-DF54EE7F79AC}"/>
    <cellStyle name="Normal 8" xfId="14" xr:uid="{77C1895B-7CD5-4CB9-93B3-4B9A03231829}"/>
    <cellStyle name="Normal 9" xfId="15" xr:uid="{0F2F4EC0-DB66-40A5-8597-C507AA2217F1}"/>
    <cellStyle name="Note 2" xfId="79" xr:uid="{2DAE1873-1693-41FD-AF89-0D1CB76FA571}"/>
    <cellStyle name="Note 2 2" xfId="126" xr:uid="{D19226EB-E396-4FA5-AA10-FF2C84116F1C}"/>
    <cellStyle name="Note 3" xfId="105" xr:uid="{C21895C4-23AA-45CA-8D2C-B4BA8B5CC092}"/>
    <cellStyle name="Note 3 2" xfId="145" xr:uid="{335E5D4C-2AD1-4F19-866D-FCBE8195BF29}"/>
    <cellStyle name="Output 2" xfId="48" xr:uid="{BA4D9426-E756-45D3-8B1A-F200F5D7A367}"/>
    <cellStyle name="Percent" xfId="2" builtinId="5"/>
    <cellStyle name="Percent 2" xfId="5" xr:uid="{853CE23D-C6D7-4FE6-8F92-5D5C2BEEA0CA}"/>
    <cellStyle name="Percent 2 2" xfId="110" xr:uid="{5A411931-F9BE-4A25-AF87-CC55CBF5F8CE}"/>
    <cellStyle name="Percent 2 3" xfId="87" xr:uid="{09835A5D-1154-40AA-9AC6-130505DAC9D8}"/>
    <cellStyle name="Percent 3" xfId="83" xr:uid="{1A43512A-6E58-411C-B9A8-0B4B96B59955}"/>
    <cellStyle name="Percent 4" xfId="156" xr:uid="{286925D1-62A1-4569-8C17-DB02BB781CE2}"/>
    <cellStyle name="Title 2" xfId="40" xr:uid="{8FAE08C5-6019-4781-96FA-A85697524611}"/>
    <cellStyle name="Total 2" xfId="54" xr:uid="{72DCCE66-FF1C-42E4-A172-71BD0C84A33B}"/>
    <cellStyle name="Virgulă 2" xfId="159" xr:uid="{4782B97D-21F9-4AFF-94F7-E31BA2BE833D}"/>
    <cellStyle name="Warning Text 2" xfId="52" xr:uid="{519046E0-30E0-4001-A64A-269DEB162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22</xdr:row>
      <xdr:rowOff>19050</xdr:rowOff>
    </xdr:from>
    <xdr:to>
      <xdr:col>7</xdr:col>
      <xdr:colOff>1504949</xdr:colOff>
      <xdr:row>36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CA51E2-8512-449A-BC33-C5334E57850D}"/>
            </a:ext>
          </a:extLst>
        </xdr:cNvPr>
        <xdr:cNvSpPr txBox="1"/>
      </xdr:nvSpPr>
      <xdr:spPr>
        <a:xfrm>
          <a:off x="476249" y="6553200"/>
          <a:ext cx="6181725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EBITDA to Sales= EBITDA / Net Sales(Turn Over)</a:t>
          </a:r>
          <a:endParaRPr lang="en-US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EBITDA Multiple( EV/EBITDA ratio) = Enterprise Value ÷ EBITDA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Enterprise Value = market capitalization +market value of debt - cash and equivalents 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P/E Ratio= Market value per share​/Earnings per share Net Debt to EBITDA=(Total Debt−Cash&amp;Equivalents)/EBITDA​</a:t>
          </a:r>
          <a:b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22</xdr:row>
      <xdr:rowOff>19050</xdr:rowOff>
    </xdr:from>
    <xdr:to>
      <xdr:col>4</xdr:col>
      <xdr:colOff>1504949</xdr:colOff>
      <xdr:row>36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685A85-EC2E-0BEC-B8FC-1FFB5A81D665}"/>
            </a:ext>
          </a:extLst>
        </xdr:cNvPr>
        <xdr:cNvSpPr txBox="1"/>
      </xdr:nvSpPr>
      <xdr:spPr>
        <a:xfrm>
          <a:off x="476249" y="6553200"/>
          <a:ext cx="6181725" cy="1990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EBITDA to Sales= EBITDA / Net Sales(Turn Over)</a:t>
          </a:r>
          <a:endParaRPr lang="en-US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EBITDA Multiple( EV/EBITDA ratio) = Enterprise Value ÷ EBITDA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Enterprise Value = market capitalization +market value of debt - cash and equivalents 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P/E Ratio= Market value per share​/Earnings per share Net Debt to EBITDA=(Total Debt−Cash&amp;Equivalents)/EBITDA​</a:t>
          </a:r>
          <a:b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aseware\data\dn%20agrar%20group%20srl%2031.12.2023%20(sync)\DN%20Agrar%20Group_CONSO%2031.12.2023-15%20societati.xlsx" TargetMode="External"/><Relationship Id="rId1" Type="http://schemas.openxmlformats.org/officeDocument/2006/relationships/externalLinkPath" Target="/program%20files%20(x86)/caseware/data/dn%20agrar%20group%20srl%2031.12.2023%20(sync)/DN%20Agrar%20Group_CONSO%2031.12.2023-15%20socie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B Unite 31.12.21 (2)"/>
      <sheetName val="TB Unite 31.12.21"/>
      <sheetName val="BS pt import 15"/>
      <sheetName val="IS pt import 15"/>
      <sheetName val="Indicatori 15"/>
      <sheetName val="Roll fwd Q4"/>
      <sheetName val="Datorii"/>
      <sheetName val="Balance sheets"/>
      <sheetName val="Income statements"/>
      <sheetName val="CF"/>
      <sheetName val="Workings_CF Dec 2023"/>
      <sheetName val="workings provizioane Dec 2023"/>
      <sheetName val="CF workings Sep 2023"/>
      <sheetName val="CF workings Jun 2023"/>
      <sheetName val="CF workings Mar 2023"/>
      <sheetName val="CF 12 workings_Sep 21"/>
      <sheetName val="Adj for Subtot + 1 Co"/>
      <sheetName val="TB detaliat Dec 21-sursa initia"/>
      <sheetName val="Adj for 16 Co"/>
      <sheetName val="Suport Adj"/>
      <sheetName val="pivot check"/>
      <sheetName val="TB detaliat DEC 23 - pt formule"/>
      <sheetName val="Inreg contab ulterioare"/>
      <sheetName val="Equity Movement"/>
      <sheetName val="FA Movement"/>
      <sheetName val="FA Movement (checks)"/>
      <sheetName val="Fin Asset"/>
      <sheetName val="Inventory"/>
      <sheetName val="Receivables"/>
      <sheetName val="Cash"/>
      <sheetName val="Prepayments"/>
      <sheetName val="ST Liab"/>
      <sheetName val="CF workings_2020"/>
      <sheetName val="LT Liab"/>
      <sheetName val="Prov"/>
      <sheetName val="Turnover"/>
      <sheetName val="Other operating revenues"/>
      <sheetName val="Other financial revenues"/>
      <sheetName val="Third party services"/>
      <sheetName val="Other expenses"/>
      <sheetName val="Other financial expenses"/>
      <sheetName val="Nota salariati si admin"/>
      <sheetName val="mapare conturi BS-IS_check"/>
      <sheetName val="TB centralizate 2020"/>
      <sheetName val="CW"/>
      <sheetName val="TB detaliat 18 soc 2020"/>
      <sheetName val="TB detaliat 2019"/>
      <sheetName val="Adj for 11 Co_2019"/>
      <sheetName val="FA Movement-2019"/>
      <sheetName val="Deffered income"/>
      <sheetName val="Centralizare diferente"/>
    </sheetNames>
    <sheetDataSet>
      <sheetData sheetId="0"/>
      <sheetData sheetId="1"/>
      <sheetData sheetId="2">
        <row r="2">
          <cell r="C2">
            <v>45291</v>
          </cell>
        </row>
      </sheetData>
      <sheetData sheetId="3">
        <row r="3">
          <cell r="AT3">
            <v>4.9745999999999997</v>
          </cell>
        </row>
      </sheetData>
      <sheetData sheetId="4"/>
      <sheetData sheetId="5"/>
      <sheetData sheetId="6"/>
      <sheetData sheetId="7">
        <row r="1">
          <cell r="B1" t="str">
            <v>Element ENGL</v>
          </cell>
        </row>
        <row r="2">
          <cell r="C2">
            <v>45291</v>
          </cell>
        </row>
      </sheetData>
      <sheetData sheetId="8">
        <row r="1">
          <cell r="A1" t="str">
            <v>Nr. Crt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45291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8">
          <cell r="F88">
            <v>-31153749</v>
          </cell>
        </row>
      </sheetData>
      <sheetData sheetId="32"/>
      <sheetData sheetId="33">
        <row r="68">
          <cell r="G68">
            <v>-10932150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FCF3A-6FD4-4863-8ED5-4FF95B7E42DD}">
  <sheetPr>
    <tabColor rgb="FFFFFF00"/>
    <pageSetUpPr fitToPage="1"/>
  </sheetPr>
  <dimension ref="A2:H20"/>
  <sheetViews>
    <sheetView workbookViewId="0">
      <selection activeCell="A16" sqref="A16"/>
    </sheetView>
  </sheetViews>
  <sheetFormatPr defaultRowHeight="11.25" x14ac:dyDescent="0.2"/>
  <cols>
    <col min="1" max="1" width="34.6640625" customWidth="1"/>
    <col min="2" max="2" width="22.6640625" customWidth="1"/>
    <col min="3" max="3" width="29" customWidth="1"/>
    <col min="4" max="4" width="12.83203125" customWidth="1"/>
    <col min="5" max="5" width="28.1640625" customWidth="1"/>
    <col min="6" max="6" width="11.83203125" style="33" bestFit="1" customWidth="1"/>
    <col min="7" max="7" width="21.83203125" customWidth="1"/>
    <col min="8" max="8" width="30.6640625" customWidth="1"/>
  </cols>
  <sheetData>
    <row r="2" spans="1:8" ht="12" thickBot="1" x14ac:dyDescent="0.25"/>
    <row r="3" spans="1:8" ht="15" customHeight="1" x14ac:dyDescent="0.2">
      <c r="A3" s="84" t="s">
        <v>157</v>
      </c>
      <c r="B3" s="85" t="s">
        <v>215</v>
      </c>
      <c r="C3" s="85" t="s">
        <v>216</v>
      </c>
      <c r="D3" s="209" t="s">
        <v>102</v>
      </c>
      <c r="E3" s="85" t="s">
        <v>215</v>
      </c>
      <c r="F3" s="211" t="s">
        <v>102</v>
      </c>
      <c r="G3" s="85" t="s">
        <v>161</v>
      </c>
    </row>
    <row r="4" spans="1:8" ht="36" customHeight="1" thickBot="1" x14ac:dyDescent="0.3">
      <c r="A4" s="86" t="s">
        <v>230</v>
      </c>
      <c r="B4" s="87" t="s">
        <v>224</v>
      </c>
      <c r="C4" s="87">
        <v>45291</v>
      </c>
      <c r="D4" s="210" t="s">
        <v>229</v>
      </c>
      <c r="E4" s="87">
        <v>44926</v>
      </c>
      <c r="F4" s="212" t="s">
        <v>217</v>
      </c>
      <c r="G4" s="87">
        <v>45199</v>
      </c>
      <c r="H4" s="131" t="s">
        <v>164</v>
      </c>
    </row>
    <row r="5" spans="1:8" ht="30.75" customHeight="1" thickBot="1" x14ac:dyDescent="0.25">
      <c r="A5" s="83" t="s">
        <v>181</v>
      </c>
      <c r="B5" s="88">
        <f>'IS(2)'!B7+'IS(2)'!B10+C5-G5</f>
        <v>249250938.05000001</v>
      </c>
      <c r="C5" s="88">
        <v>237506054</v>
      </c>
      <c r="D5" s="207">
        <f>(B5-C5)/C5</f>
        <v>4.9450882839390746E-2</v>
      </c>
      <c r="E5" s="88">
        <v>207546723.20569745</v>
      </c>
      <c r="F5" s="213">
        <f>(C5-E5)/E5</f>
        <v>0.14434981353384299</v>
      </c>
      <c r="G5" s="88">
        <f>'IS(2)'!C7+'IS(2)'!C10</f>
        <v>182612026.94999999</v>
      </c>
      <c r="H5" s="97">
        <v>45199</v>
      </c>
    </row>
    <row r="6" spans="1:8" ht="16.5" thickBot="1" x14ac:dyDescent="0.25">
      <c r="A6" s="83" t="s">
        <v>188</v>
      </c>
      <c r="B6" s="88">
        <f>'bvb 30.09.2024'!B6+C6-G6</f>
        <v>57508629</v>
      </c>
      <c r="C6" s="88">
        <v>53978555</v>
      </c>
      <c r="D6" s="207">
        <f t="shared" ref="D6:D20" si="0">(B6-C6)/C6</f>
        <v>6.5397712109929576E-2</v>
      </c>
      <c r="E6" s="88">
        <v>43344722</v>
      </c>
      <c r="F6" s="213">
        <f t="shared" ref="F6:F20" si="1">(C6-E6)/E6</f>
        <v>0.2453316692168426</v>
      </c>
      <c r="G6" s="88">
        <f>'bvb 30.09.2024'!C6</f>
        <v>46490812</v>
      </c>
      <c r="H6" s="97">
        <v>45199</v>
      </c>
    </row>
    <row r="7" spans="1:8" ht="16.5" thickBot="1" x14ac:dyDescent="0.25">
      <c r="A7" s="83" t="s">
        <v>189</v>
      </c>
      <c r="B7" s="151">
        <f>'Income Statement'!B8+C7-G7</f>
        <v>161695271</v>
      </c>
      <c r="C7" s="206">
        <v>150886163</v>
      </c>
      <c r="D7" s="207">
        <f t="shared" si="0"/>
        <v>7.1637503301081359E-2</v>
      </c>
      <c r="E7" s="206">
        <v>150789463.09999999</v>
      </c>
      <c r="F7" s="213">
        <f t="shared" si="1"/>
        <v>6.4129083035382171E-4</v>
      </c>
      <c r="G7" s="206">
        <f>'Income Statement'!C8</f>
        <v>115983423</v>
      </c>
      <c r="H7" s="97">
        <v>45199</v>
      </c>
    </row>
    <row r="8" spans="1:8" ht="46.5" customHeight="1" thickBot="1" x14ac:dyDescent="0.25">
      <c r="A8" s="92" t="s">
        <v>187</v>
      </c>
      <c r="B8" s="93">
        <f>'Income Statement'!B78+C8-G8</f>
        <v>21411512.499011341</v>
      </c>
      <c r="C8" s="93">
        <v>22672945</v>
      </c>
      <c r="D8" s="207">
        <f t="shared" si="0"/>
        <v>-5.5636023506812127E-2</v>
      </c>
      <c r="E8" s="93">
        <v>13940230.0341888</v>
      </c>
      <c r="F8" s="213">
        <f t="shared" si="1"/>
        <v>0.62643980367569085</v>
      </c>
      <c r="G8" s="93">
        <f>'Income Statement'!C78</f>
        <v>22339131.500988659</v>
      </c>
      <c r="H8" s="97">
        <v>45199</v>
      </c>
    </row>
    <row r="9" spans="1:8" ht="16.5" thickBot="1" x14ac:dyDescent="0.25">
      <c r="A9" s="83" t="s">
        <v>183</v>
      </c>
      <c r="B9" s="151">
        <f>'BS (2)'!B18+C9-G9</f>
        <v>187786534</v>
      </c>
      <c r="C9" s="206">
        <v>172352283</v>
      </c>
      <c r="D9" s="207">
        <f t="shared" si="0"/>
        <v>8.9550603748022303E-2</v>
      </c>
      <c r="E9" s="206">
        <v>152582048</v>
      </c>
      <c r="F9" s="217">
        <f t="shared" si="1"/>
        <v>0.12957117340566826</v>
      </c>
      <c r="G9" s="206">
        <f>'BS (2)'!C18</f>
        <v>172352283</v>
      </c>
      <c r="H9" s="214">
        <v>45291</v>
      </c>
    </row>
    <row r="10" spans="1:8" ht="16.5" thickBot="1" x14ac:dyDescent="0.25">
      <c r="A10" s="83" t="s">
        <v>186</v>
      </c>
      <c r="B10" s="151">
        <f>'BS pt import 16'!B15</f>
        <v>1248357</v>
      </c>
      <c r="C10" s="206">
        <v>1756693</v>
      </c>
      <c r="D10" s="207">
        <f t="shared" si="0"/>
        <v>-0.28937099424885282</v>
      </c>
      <c r="E10" s="206">
        <v>1586295</v>
      </c>
      <c r="F10" s="217">
        <f t="shared" si="1"/>
        <v>0.10741885966985965</v>
      </c>
      <c r="G10" s="206">
        <f>'BS pt import 16'!C15</f>
        <v>1756693</v>
      </c>
      <c r="H10" s="214">
        <v>45291</v>
      </c>
    </row>
    <row r="11" spans="1:8" ht="15.75" x14ac:dyDescent="0.25">
      <c r="A11" s="83" t="s">
        <v>191</v>
      </c>
      <c r="B11" s="105">
        <f>'bvb 30.09.2024'!B11</f>
        <v>238641336</v>
      </c>
      <c r="C11" s="105">
        <v>256141700.63999999</v>
      </c>
      <c r="D11" s="207">
        <f t="shared" si="0"/>
        <v>-6.8322981366459576E-2</v>
      </c>
      <c r="E11" s="105">
        <v>114547841.28</v>
      </c>
      <c r="F11" s="217">
        <f t="shared" si="1"/>
        <v>1.2361111111111109</v>
      </c>
      <c r="G11" s="105">
        <f>'bvb 30.09.2024'!C11</f>
        <v>155594151.072</v>
      </c>
      <c r="H11" s="215"/>
    </row>
    <row r="12" spans="1:8" ht="16.5" thickBot="1" x14ac:dyDescent="0.25">
      <c r="A12" s="82">
        <v>45565</v>
      </c>
      <c r="B12" s="89" t="s">
        <v>160</v>
      </c>
      <c r="C12" s="89" t="s">
        <v>160</v>
      </c>
      <c r="D12" s="216" t="s">
        <v>160</v>
      </c>
      <c r="E12" s="89" t="s">
        <v>160</v>
      </c>
      <c r="F12" s="218" t="s">
        <v>160</v>
      </c>
      <c r="G12" s="89" t="s">
        <v>160</v>
      </c>
    </row>
    <row r="13" spans="1:8" ht="16.5" thickBot="1" x14ac:dyDescent="0.25">
      <c r="A13" s="141" t="s">
        <v>182</v>
      </c>
      <c r="B13" s="116">
        <f>B11+B9-B10</f>
        <v>425179513</v>
      </c>
      <c r="C13" s="116">
        <v>426737290.63999999</v>
      </c>
      <c r="D13" s="207">
        <f t="shared" si="0"/>
        <v>-3.6504371053762514E-3</v>
      </c>
      <c r="E13" s="116">
        <v>265543594.28</v>
      </c>
      <c r="F13" s="213">
        <f t="shared" si="1"/>
        <v>0.60703289340141553</v>
      </c>
      <c r="G13" s="116">
        <f>G11+G9-G10</f>
        <v>326189741.07200003</v>
      </c>
      <c r="H13" s="214">
        <v>45291</v>
      </c>
    </row>
    <row r="14" spans="1:8" ht="35.25" customHeight="1" thickBot="1" x14ac:dyDescent="0.25">
      <c r="A14" s="92" t="s">
        <v>169</v>
      </c>
      <c r="B14" s="112">
        <v>159094224</v>
      </c>
      <c r="C14" s="112">
        <v>159094224</v>
      </c>
      <c r="D14" s="207">
        <f t="shared" si="0"/>
        <v>0</v>
      </c>
      <c r="E14" s="112">
        <v>159094224</v>
      </c>
      <c r="F14" s="213">
        <f t="shared" si="1"/>
        <v>0</v>
      </c>
      <c r="G14" s="112">
        <v>159094224</v>
      </c>
    </row>
    <row r="15" spans="1:8" ht="35.25" customHeight="1" thickBot="1" x14ac:dyDescent="0.25">
      <c r="A15" s="92" t="s">
        <v>222</v>
      </c>
      <c r="B15" s="162">
        <f>B11/B14</f>
        <v>1.5</v>
      </c>
      <c r="C15" s="162">
        <v>1.61</v>
      </c>
      <c r="D15" s="207">
        <f t="shared" si="0"/>
        <v>-6.8322981366459687E-2</v>
      </c>
      <c r="E15" s="162">
        <v>0.72</v>
      </c>
      <c r="F15" s="213">
        <f t="shared" si="1"/>
        <v>1.2361111111111114</v>
      </c>
      <c r="G15" s="162">
        <f>G11/G14</f>
        <v>0.97799999999999998</v>
      </c>
    </row>
    <row r="16" spans="1:8" ht="35.25" customHeight="1" thickBot="1" x14ac:dyDescent="0.25">
      <c r="A16" s="83" t="s">
        <v>231</v>
      </c>
      <c r="B16" s="88">
        <f>B8/B14</f>
        <v>0.13458384572787094</v>
      </c>
      <c r="C16" s="88">
        <v>0.14000000000000001</v>
      </c>
      <c r="D16" s="207">
        <f t="shared" si="0"/>
        <v>-3.8686816229493395E-2</v>
      </c>
      <c r="E16" s="88">
        <v>8.762247732003646E-2</v>
      </c>
      <c r="F16" s="213">
        <f t="shared" si="1"/>
        <v>0.59776354517639829</v>
      </c>
      <c r="G16" s="88">
        <f>G8/G14</f>
        <v>0.14041447225003378</v>
      </c>
      <c r="H16" s="97">
        <v>45199</v>
      </c>
    </row>
    <row r="17" spans="1:8" ht="35.25" customHeight="1" thickBot="1" x14ac:dyDescent="0.25">
      <c r="A17" s="157" t="s">
        <v>232</v>
      </c>
      <c r="B17" s="158">
        <f>B6/B7</f>
        <v>0.35566054989944634</v>
      </c>
      <c r="C17" s="158">
        <v>0.36</v>
      </c>
      <c r="D17" s="207">
        <f t="shared" si="0"/>
        <v>-1.2054028057093455E-2</v>
      </c>
      <c r="E17" s="158">
        <v>0.28745192872830116</v>
      </c>
      <c r="F17" s="213">
        <f t="shared" si="1"/>
        <v>0.25238331707376044</v>
      </c>
      <c r="G17" s="158">
        <f>G6/G7</f>
        <v>0.40084014419888264</v>
      </c>
      <c r="H17" s="97">
        <v>45199</v>
      </c>
    </row>
    <row r="18" spans="1:8" ht="35.25" customHeight="1" thickBot="1" x14ac:dyDescent="0.25">
      <c r="A18" s="157" t="s">
        <v>233</v>
      </c>
      <c r="B18" s="158">
        <f>B13/B6</f>
        <v>7.3933168012056072</v>
      </c>
      <c r="C18" s="158">
        <v>7.91</v>
      </c>
      <c r="D18" s="207">
        <f t="shared" si="0"/>
        <v>-6.5320252692085079E-2</v>
      </c>
      <c r="E18" s="158">
        <v>6.1263190078828975</v>
      </c>
      <c r="F18" s="213">
        <f t="shared" si="1"/>
        <v>0.29115052445391643</v>
      </c>
      <c r="G18" s="158">
        <f>G13/G6</f>
        <v>7.0162194859491809</v>
      </c>
      <c r="H18" s="214">
        <v>45291</v>
      </c>
    </row>
    <row r="19" spans="1:8" ht="35.25" customHeight="1" thickBot="1" x14ac:dyDescent="0.25">
      <c r="A19" s="157" t="s">
        <v>234</v>
      </c>
      <c r="B19" s="158">
        <f>B15/B16</f>
        <v>11.145468402151369</v>
      </c>
      <c r="C19" s="158">
        <v>11.3</v>
      </c>
      <c r="D19" s="207">
        <f t="shared" si="0"/>
        <v>-1.367536264147181E-2</v>
      </c>
      <c r="E19" s="158">
        <v>8.2170696609071907</v>
      </c>
      <c r="F19" s="213">
        <f t="shared" si="1"/>
        <v>0.37518610238390565</v>
      </c>
      <c r="G19" s="158">
        <f>G15/G16</f>
        <v>6.9650940129482608</v>
      </c>
      <c r="H19" s="97">
        <v>45199</v>
      </c>
    </row>
    <row r="20" spans="1:8" ht="35.25" customHeight="1" thickBot="1" x14ac:dyDescent="0.25">
      <c r="A20" s="157" t="s">
        <v>235</v>
      </c>
      <c r="B20" s="158">
        <f>(B9-B10)/B6</f>
        <v>3.2436554347348463</v>
      </c>
      <c r="C20" s="158">
        <v>3.16</v>
      </c>
      <c r="D20" s="208">
        <f t="shared" si="0"/>
        <v>2.6473238840141189E-2</v>
      </c>
      <c r="E20" s="158">
        <v>3.4836018327675511</v>
      </c>
      <c r="F20" s="213">
        <f t="shared" si="1"/>
        <v>-9.2892887391342632E-2</v>
      </c>
      <c r="G20" s="158">
        <f>(G9-G10)/G6</f>
        <v>3.6694474168358258</v>
      </c>
      <c r="H20" s="214">
        <v>45291</v>
      </c>
    </row>
  </sheetData>
  <pageMargins left="0.7" right="0.7" top="0.75" bottom="0.75" header="0.3" footer="0.3"/>
  <pageSetup paperSize="9"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736BD-16A1-42FD-9E63-15B60E8F5287}">
  <sheetPr>
    <pageSetUpPr fitToPage="1"/>
  </sheetPr>
  <dimension ref="A1:G32"/>
  <sheetViews>
    <sheetView showGridLines="0" workbookViewId="0">
      <selection activeCell="A16" sqref="A16"/>
    </sheetView>
  </sheetViews>
  <sheetFormatPr defaultRowHeight="15" x14ac:dyDescent="0.25"/>
  <cols>
    <col min="1" max="1" width="9.33203125" style="47"/>
    <col min="2" max="2" width="48" style="47" customWidth="1"/>
    <col min="3" max="3" width="16.5" style="47" customWidth="1"/>
    <col min="4" max="4" width="14" style="47" customWidth="1"/>
    <col min="5" max="5" width="13.83203125" style="47" customWidth="1"/>
    <col min="6" max="6" width="12.5" style="47" bestFit="1" customWidth="1"/>
    <col min="7" max="7" width="11.5" style="47" bestFit="1" customWidth="1"/>
    <col min="8" max="16384" width="9.33203125" style="47"/>
  </cols>
  <sheetData>
    <row r="1" spans="1:7" x14ac:dyDescent="0.25">
      <c r="A1" s="46" t="s">
        <v>123</v>
      </c>
    </row>
    <row r="2" spans="1:7" x14ac:dyDescent="0.25">
      <c r="A2" s="46" t="s">
        <v>108</v>
      </c>
    </row>
    <row r="3" spans="1:7" x14ac:dyDescent="0.25">
      <c r="A3" s="46"/>
    </row>
    <row r="6" spans="1:7" x14ac:dyDescent="0.25">
      <c r="B6" s="48"/>
      <c r="C6" s="48"/>
      <c r="D6" s="49"/>
    </row>
    <row r="7" spans="1:7" ht="15.75" thickBot="1" x14ac:dyDescent="0.3">
      <c r="B7" s="48"/>
      <c r="C7" s="48"/>
      <c r="D7" s="50"/>
    </row>
    <row r="8" spans="1:7" x14ac:dyDescent="0.25">
      <c r="B8" s="51" t="s">
        <v>109</v>
      </c>
      <c r="C8" s="52">
        <v>45565</v>
      </c>
      <c r="D8" s="52">
        <v>45291</v>
      </c>
      <c r="E8" s="52">
        <v>44926</v>
      </c>
      <c r="F8" s="129">
        <v>44561</v>
      </c>
      <c r="G8" s="129">
        <v>44196</v>
      </c>
    </row>
    <row r="9" spans="1:7" x14ac:dyDescent="0.25">
      <c r="B9" s="53" t="s">
        <v>110</v>
      </c>
      <c r="C9" s="54">
        <v>105722072.93836135</v>
      </c>
      <c r="D9" s="54">
        <f>'BS pt import 16'!C16</f>
        <v>94362606</v>
      </c>
      <c r="E9" s="54">
        <v>72472451</v>
      </c>
      <c r="F9" s="54">
        <v>49426260</v>
      </c>
      <c r="G9" s="54">
        <v>22362883</v>
      </c>
    </row>
    <row r="10" spans="1:7" x14ac:dyDescent="0.25">
      <c r="B10" s="53" t="s">
        <v>111</v>
      </c>
      <c r="C10" s="54">
        <v>85248150.301400006</v>
      </c>
      <c r="D10" s="54">
        <f>'BS pt import 16'!C20</f>
        <v>76397539</v>
      </c>
      <c r="E10" s="54">
        <v>59675569</v>
      </c>
      <c r="F10" s="54">
        <v>41793980</v>
      </c>
      <c r="G10" s="54">
        <v>23430660</v>
      </c>
    </row>
    <row r="11" spans="1:7" ht="15.75" thickBot="1" x14ac:dyDescent="0.3">
      <c r="B11" s="55" t="s">
        <v>112</v>
      </c>
      <c r="C11" s="56">
        <f>C9/C10</f>
        <v>1.2401685264087789</v>
      </c>
      <c r="D11" s="56">
        <f>D9/D10</f>
        <v>1.2351524307608914</v>
      </c>
      <c r="E11" s="56">
        <f>E9/E10</f>
        <v>1.2144408878614965</v>
      </c>
      <c r="F11" s="56">
        <f>F9/F10</f>
        <v>1.18261673092632</v>
      </c>
      <c r="G11" s="56">
        <f>G9/G10</f>
        <v>0.95442821499693142</v>
      </c>
    </row>
    <row r="12" spans="1:7" x14ac:dyDescent="0.25">
      <c r="B12" s="48"/>
      <c r="C12" s="48"/>
      <c r="D12" s="57"/>
      <c r="F12" s="130"/>
      <c r="G12" s="130"/>
    </row>
    <row r="13" spans="1:7" x14ac:dyDescent="0.25">
      <c r="B13" s="48"/>
      <c r="C13" s="48"/>
      <c r="D13" s="58"/>
      <c r="F13" s="130"/>
      <c r="G13" s="130"/>
    </row>
    <row r="14" spans="1:7" ht="15.75" thickBot="1" x14ac:dyDescent="0.3">
      <c r="D14" s="57"/>
      <c r="F14" s="130"/>
      <c r="G14" s="130"/>
    </row>
    <row r="15" spans="1:7" x14ac:dyDescent="0.25">
      <c r="B15" s="51" t="s">
        <v>113</v>
      </c>
      <c r="C15" s="52">
        <v>45565</v>
      </c>
      <c r="D15" s="52">
        <v>45291</v>
      </c>
      <c r="E15" s="52">
        <v>44926</v>
      </c>
      <c r="F15" s="129">
        <v>44561</v>
      </c>
      <c r="G15" s="129">
        <v>44196</v>
      </c>
    </row>
    <row r="16" spans="1:7" x14ac:dyDescent="0.25">
      <c r="B16" s="53" t="s">
        <v>114</v>
      </c>
      <c r="C16" s="195">
        <v>131199302.07000001</v>
      </c>
      <c r="D16" s="195">
        <v>121683021</v>
      </c>
      <c r="E16" s="54">
        <v>126397863</v>
      </c>
      <c r="F16" s="54">
        <v>51691514</v>
      </c>
      <c r="G16" s="54">
        <v>26614807</v>
      </c>
    </row>
    <row r="17" spans="2:7" x14ac:dyDescent="0.25">
      <c r="B17" s="53" t="s">
        <v>116</v>
      </c>
      <c r="C17" s="202">
        <v>154217643.15086946</v>
      </c>
      <c r="D17" s="195">
        <f>'BS pt import 16'!C52</f>
        <v>133339798</v>
      </c>
      <c r="E17" s="54">
        <v>79661430</v>
      </c>
      <c r="F17" s="54">
        <v>65458018</v>
      </c>
      <c r="G17" s="54">
        <v>29844190</v>
      </c>
    </row>
    <row r="18" spans="2:7" ht="15.75" thickBot="1" x14ac:dyDescent="0.3">
      <c r="B18" s="55" t="s">
        <v>112</v>
      </c>
      <c r="C18" s="59">
        <f>C16/C17</f>
        <v>0.85074119529663117</v>
      </c>
      <c r="D18" s="59">
        <f>D16/D17</f>
        <v>0.91257841113573612</v>
      </c>
      <c r="E18" s="59">
        <f t="shared" ref="E18:G18" si="0">E16/E17</f>
        <v>1.5866883509372101</v>
      </c>
      <c r="F18" s="59">
        <f t="shared" si="0"/>
        <v>0.78968956866368911</v>
      </c>
      <c r="G18" s="59">
        <f t="shared" si="0"/>
        <v>0.89179190321466251</v>
      </c>
    </row>
    <row r="19" spans="2:7" ht="15.75" thickBot="1" x14ac:dyDescent="0.3">
      <c r="D19" s="60"/>
      <c r="F19" s="130"/>
      <c r="G19" s="130"/>
    </row>
    <row r="20" spans="2:7" x14ac:dyDescent="0.25">
      <c r="B20" s="51" t="s">
        <v>113</v>
      </c>
      <c r="C20" s="52">
        <v>45565</v>
      </c>
      <c r="D20" s="52">
        <v>45291</v>
      </c>
      <c r="E20" s="52">
        <v>44926</v>
      </c>
      <c r="F20" s="129">
        <v>44561</v>
      </c>
      <c r="G20" s="129">
        <v>44196</v>
      </c>
    </row>
    <row r="21" spans="2:7" x14ac:dyDescent="0.25">
      <c r="B21" s="53" t="s">
        <v>114</v>
      </c>
      <c r="C21" s="203">
        <v>131199302.07000001</v>
      </c>
      <c r="D21" s="54">
        <f>D16</f>
        <v>121683021</v>
      </c>
      <c r="E21" s="54">
        <f>E16</f>
        <v>126397863</v>
      </c>
      <c r="F21" s="54">
        <f>F16</f>
        <v>51691514</v>
      </c>
      <c r="G21" s="54">
        <v>26614807</v>
      </c>
    </row>
    <row r="22" spans="2:7" x14ac:dyDescent="0.25">
      <c r="B22" s="53" t="s">
        <v>117</v>
      </c>
      <c r="C22" s="203">
        <v>285416945.22086948</v>
      </c>
      <c r="D22" s="54">
        <f>D16+D17</f>
        <v>255022819</v>
      </c>
      <c r="E22" s="54">
        <v>206059293</v>
      </c>
      <c r="F22" s="54">
        <v>117149532</v>
      </c>
      <c r="G22" s="54">
        <f>G16+G17</f>
        <v>56458997</v>
      </c>
    </row>
    <row r="23" spans="2:7" x14ac:dyDescent="0.25">
      <c r="B23" s="61" t="s">
        <v>112</v>
      </c>
      <c r="C23" s="62">
        <f>C21/C22</f>
        <v>0.45967593819095648</v>
      </c>
      <c r="D23" s="62">
        <f>D21/D22</f>
        <v>0.47714561966315649</v>
      </c>
      <c r="E23" s="62">
        <f t="shared" ref="E23:G23" si="1">E21/E22</f>
        <v>0.61340530271546645</v>
      </c>
      <c r="F23" s="62">
        <f t="shared" si="1"/>
        <v>0.44124387965971557</v>
      </c>
      <c r="G23" s="62">
        <f t="shared" si="1"/>
        <v>0.47140063433999724</v>
      </c>
    </row>
    <row r="24" spans="2:7" x14ac:dyDescent="0.25">
      <c r="B24" s="63"/>
      <c r="C24" s="48"/>
      <c r="D24" s="64"/>
      <c r="E24" s="64"/>
      <c r="F24" s="64"/>
      <c r="G24" s="64"/>
    </row>
    <row r="25" spans="2:7" x14ac:dyDescent="0.25">
      <c r="B25" s="65" t="s">
        <v>118</v>
      </c>
      <c r="C25" s="199"/>
      <c r="D25" s="54"/>
      <c r="E25" s="54"/>
      <c r="F25" s="54"/>
      <c r="G25" s="54"/>
    </row>
    <row r="26" spans="2:7" ht="15.75" thickBot="1" x14ac:dyDescent="0.3">
      <c r="B26" s="66" t="s">
        <v>119</v>
      </c>
      <c r="C26" s="200"/>
      <c r="D26" s="67"/>
      <c r="E26" s="67"/>
      <c r="F26" s="67"/>
      <c r="G26" s="67"/>
    </row>
    <row r="27" spans="2:7" x14ac:dyDescent="0.25">
      <c r="B27" s="48"/>
      <c r="C27" s="48"/>
      <c r="D27" s="60"/>
      <c r="F27" s="130"/>
      <c r="G27" s="130"/>
    </row>
    <row r="28" spans="2:7" ht="15.75" thickBot="1" x14ac:dyDescent="0.3">
      <c r="B28" s="48"/>
      <c r="C28" s="48"/>
      <c r="D28" s="57"/>
      <c r="F28" s="130"/>
      <c r="G28" s="130"/>
    </row>
    <row r="29" spans="2:7" x14ac:dyDescent="0.25">
      <c r="B29" s="51" t="s">
        <v>120</v>
      </c>
      <c r="C29" s="52">
        <v>45565</v>
      </c>
      <c r="D29" s="52">
        <v>45291</v>
      </c>
      <c r="E29" s="52">
        <v>44926</v>
      </c>
      <c r="F29" s="129">
        <v>44561</v>
      </c>
      <c r="G29" s="129">
        <v>44196</v>
      </c>
    </row>
    <row r="30" spans="2:7" x14ac:dyDescent="0.25">
      <c r="B30" s="53" t="s">
        <v>121</v>
      </c>
      <c r="C30" s="54">
        <v>126792530.69495797</v>
      </c>
      <c r="D30" s="54">
        <v>150886163</v>
      </c>
      <c r="E30" s="54">
        <v>150789463</v>
      </c>
      <c r="F30" s="54">
        <v>46951665</v>
      </c>
      <c r="G30" s="54">
        <v>38220407</v>
      </c>
    </row>
    <row r="31" spans="2:7" x14ac:dyDescent="0.25">
      <c r="B31" s="53" t="s">
        <v>122</v>
      </c>
      <c r="C31" s="54">
        <v>235554061.22069651</v>
      </c>
      <c r="D31" s="54">
        <f>'BS pt import 16'!C11</f>
        <v>212141058</v>
      </c>
      <c r="E31" s="54">
        <v>160654418</v>
      </c>
      <c r="F31" s="54">
        <v>96416465</v>
      </c>
      <c r="G31" s="54">
        <v>57557888</v>
      </c>
    </row>
    <row r="32" spans="2:7" ht="15.75" thickBot="1" x14ac:dyDescent="0.3">
      <c r="B32" s="55" t="s">
        <v>112</v>
      </c>
      <c r="C32" s="68">
        <f>C30/C31</f>
        <v>0.53827359221865789</v>
      </c>
      <c r="D32" s="68">
        <f>D30/D31</f>
        <v>0.7112539384054547</v>
      </c>
      <c r="E32" s="68">
        <f>E30/E31</f>
        <v>0.93859518385607044</v>
      </c>
      <c r="F32" s="68">
        <f>F30/F31</f>
        <v>0.48696729339745032</v>
      </c>
      <c r="G32" s="68">
        <f>G30/G31</f>
        <v>0.66403421543194918</v>
      </c>
    </row>
  </sheetData>
  <pageMargins left="0.7" right="0.7" top="0.75" bottom="0.75" header="0.3" footer="0.3"/>
  <pageSetup paperSize="9" orientation="landscape" horizontalDpi="4294967293" verticalDpi="4294967293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25D1-D954-4889-939F-8AF4FA72734F}">
  <sheetPr>
    <tabColor rgb="FFFFFF00"/>
    <pageSetUpPr fitToPage="1"/>
  </sheetPr>
  <dimension ref="A2:E20"/>
  <sheetViews>
    <sheetView topLeftCell="A2" workbookViewId="0">
      <selection activeCell="A16" sqref="A16"/>
    </sheetView>
  </sheetViews>
  <sheetFormatPr defaultRowHeight="11.25" x14ac:dyDescent="0.2"/>
  <cols>
    <col min="1" max="1" width="34.6640625" customWidth="1"/>
    <col min="2" max="3" width="21.83203125" bestFit="1" customWidth="1"/>
    <col min="4" max="4" width="11.83203125" style="33" bestFit="1" customWidth="1"/>
    <col min="5" max="5" width="30.6640625" customWidth="1"/>
  </cols>
  <sheetData>
    <row r="2" spans="1:5" ht="12" thickBot="1" x14ac:dyDescent="0.25"/>
    <row r="3" spans="1:5" ht="15" customHeight="1" x14ac:dyDescent="0.2">
      <c r="A3" s="84" t="s">
        <v>157</v>
      </c>
      <c r="B3" s="85" t="s">
        <v>161</v>
      </c>
      <c r="C3" s="96" t="s">
        <v>161</v>
      </c>
      <c r="D3" s="252" t="s">
        <v>102</v>
      </c>
    </row>
    <row r="4" spans="1:5" ht="15" customHeight="1" thickBot="1" x14ac:dyDescent="0.3">
      <c r="A4" s="86" t="s">
        <v>223</v>
      </c>
      <c r="B4" s="87">
        <v>45565</v>
      </c>
      <c r="C4" s="97">
        <v>45199</v>
      </c>
      <c r="D4" s="253"/>
      <c r="E4" s="131" t="s">
        <v>164</v>
      </c>
    </row>
    <row r="5" spans="1:5" ht="30.75" customHeight="1" thickBot="1" x14ac:dyDescent="0.25">
      <c r="A5" s="83" t="s">
        <v>181</v>
      </c>
      <c r="B5" s="88">
        <f>'IS(2)'!B7+'IS(2)'!B10</f>
        <v>194356911</v>
      </c>
      <c r="C5" s="98">
        <f>'IS(2)'!C7+'IS(2)'!C10</f>
        <v>182612026.94999999</v>
      </c>
      <c r="D5" s="103">
        <f t="shared" ref="D5:D11" si="0">(B5-C5)/C5</f>
        <v>6.4316048872376921E-2</v>
      </c>
      <c r="E5" s="97">
        <v>45199</v>
      </c>
    </row>
    <row r="6" spans="1:5" ht="16.5" thickBot="1" x14ac:dyDescent="0.25">
      <c r="A6" s="83" t="s">
        <v>188</v>
      </c>
      <c r="B6" s="88">
        <f>'bvb 30.09.2024'!B6</f>
        <v>50020886</v>
      </c>
      <c r="C6" s="98">
        <f>'bvb 30.09.2024'!C6</f>
        <v>46490812</v>
      </c>
      <c r="D6" s="103">
        <f t="shared" si="0"/>
        <v>7.5930573120555525E-2</v>
      </c>
      <c r="E6" s="97">
        <v>45199</v>
      </c>
    </row>
    <row r="7" spans="1:5" ht="16.5" thickBot="1" x14ac:dyDescent="0.25">
      <c r="A7" s="83" t="s">
        <v>189</v>
      </c>
      <c r="B7" s="151">
        <f>'Income Statement'!B8</f>
        <v>126792531</v>
      </c>
      <c r="C7" s="152">
        <f>'Income Statement'!C8</f>
        <v>115983423</v>
      </c>
      <c r="D7" s="103">
        <f t="shared" si="0"/>
        <v>9.3195283605313151E-2</v>
      </c>
      <c r="E7" s="97">
        <v>45199</v>
      </c>
    </row>
    <row r="8" spans="1:5" ht="46.5" customHeight="1" thickBot="1" x14ac:dyDescent="0.25">
      <c r="A8" s="92" t="s">
        <v>187</v>
      </c>
      <c r="B8" s="93">
        <f>'Income Statement'!B78</f>
        <v>21077699</v>
      </c>
      <c r="C8" s="107">
        <f>'Income Statement'!C78</f>
        <v>22339131.500988659</v>
      </c>
      <c r="D8" s="103">
        <f t="shared" si="0"/>
        <v>-5.64673922499105E-2</v>
      </c>
      <c r="E8" s="97">
        <v>45199</v>
      </c>
    </row>
    <row r="9" spans="1:5" ht="16.5" thickBot="1" x14ac:dyDescent="0.25">
      <c r="A9" s="83" t="s">
        <v>183</v>
      </c>
      <c r="B9" s="151">
        <f>'BS (2)'!B18</f>
        <v>187786534</v>
      </c>
      <c r="C9" s="152">
        <f>'BS (2)'!C18</f>
        <v>172352283</v>
      </c>
      <c r="D9" s="104">
        <f t="shared" si="0"/>
        <v>8.9550603748022303E-2</v>
      </c>
      <c r="E9" s="132">
        <v>45291</v>
      </c>
    </row>
    <row r="10" spans="1:5" ht="16.5" thickBot="1" x14ac:dyDescent="0.25">
      <c r="A10" s="83" t="s">
        <v>186</v>
      </c>
      <c r="B10" s="151">
        <f>'BS pt import 16'!B15</f>
        <v>1248357</v>
      </c>
      <c r="C10" s="152">
        <f>'BS pt import 16'!C15</f>
        <v>1756693</v>
      </c>
      <c r="D10" s="104">
        <f t="shared" si="0"/>
        <v>-0.28937099424885282</v>
      </c>
      <c r="E10" s="132">
        <v>45291</v>
      </c>
    </row>
    <row r="11" spans="1:5" ht="15.75" x14ac:dyDescent="0.25">
      <c r="A11" s="83" t="s">
        <v>191</v>
      </c>
      <c r="B11" s="105">
        <f>'bvb 30.09.2024'!B11</f>
        <v>238641336</v>
      </c>
      <c r="C11" s="105">
        <f>'bvb 30.09.2024'!C11</f>
        <v>155594151.072</v>
      </c>
      <c r="D11" s="104">
        <f t="shared" si="0"/>
        <v>0.53374233128834359</v>
      </c>
      <c r="E11" s="133"/>
    </row>
    <row r="12" spans="1:5" ht="16.5" thickBot="1" x14ac:dyDescent="0.25">
      <c r="A12" s="82">
        <v>45565</v>
      </c>
      <c r="B12" s="89" t="s">
        <v>160</v>
      </c>
      <c r="C12" s="106" t="s">
        <v>160</v>
      </c>
      <c r="D12" s="102"/>
    </row>
    <row r="13" spans="1:5" ht="16.5" thickBot="1" x14ac:dyDescent="0.25">
      <c r="A13" s="141" t="s">
        <v>182</v>
      </c>
      <c r="B13" s="116">
        <f>B11+B9-B10</f>
        <v>425179513</v>
      </c>
      <c r="C13" s="116">
        <f>C11+C9-C10</f>
        <v>326189741.07200003</v>
      </c>
      <c r="D13" s="119">
        <f>(B13-C13)/C13</f>
        <v>0.3034729774231309</v>
      </c>
      <c r="E13" s="132">
        <v>45291</v>
      </c>
    </row>
    <row r="14" spans="1:5" ht="35.25" customHeight="1" thickBot="1" x14ac:dyDescent="0.25">
      <c r="A14" s="92" t="s">
        <v>169</v>
      </c>
      <c r="B14" s="112">
        <v>159094224</v>
      </c>
      <c r="C14" s="113">
        <v>159094224</v>
      </c>
      <c r="D14" s="103">
        <f>(B14-C14)/C14</f>
        <v>0</v>
      </c>
    </row>
    <row r="15" spans="1:5" ht="35.25" customHeight="1" thickBot="1" x14ac:dyDescent="0.25">
      <c r="A15" s="92" t="s">
        <v>214</v>
      </c>
      <c r="B15" s="162">
        <f>B11/B14</f>
        <v>1.5</v>
      </c>
      <c r="C15" s="162">
        <f>C11/C14</f>
        <v>0.97799999999999998</v>
      </c>
      <c r="D15" s="103"/>
    </row>
    <row r="16" spans="1:5" ht="35.25" customHeight="1" thickBot="1" x14ac:dyDescent="0.25">
      <c r="A16" s="83" t="s">
        <v>228</v>
      </c>
      <c r="B16" s="88">
        <f>B8/B14</f>
        <v>0.13248563316792694</v>
      </c>
      <c r="C16" s="88">
        <f>C8/C14</f>
        <v>0.14041447225003378</v>
      </c>
      <c r="D16" s="103">
        <f>(B16-C16)/C16</f>
        <v>-5.6467392249910583E-2</v>
      </c>
      <c r="E16" s="97">
        <v>45199</v>
      </c>
    </row>
    <row r="17" spans="1:5" ht="35.25" customHeight="1" thickBot="1" x14ac:dyDescent="0.25">
      <c r="A17" s="157" t="s">
        <v>180</v>
      </c>
      <c r="B17" s="158">
        <f>B6/B7</f>
        <v>0.39450972076580759</v>
      </c>
      <c r="C17" s="158">
        <f>C6/C7</f>
        <v>0.40084014419888264</v>
      </c>
      <c r="D17" s="159">
        <f>(B17-C17)/C17</f>
        <v>-1.5792887824963256E-2</v>
      </c>
      <c r="E17" s="97">
        <v>45199</v>
      </c>
    </row>
    <row r="18" spans="1:5" ht="35.25" customHeight="1" thickBot="1" x14ac:dyDescent="0.25">
      <c r="A18" s="157" t="s">
        <v>190</v>
      </c>
      <c r="B18" s="158">
        <f>B13/B6</f>
        <v>8.5000396234484938</v>
      </c>
      <c r="C18" s="158">
        <f>C13/C6</f>
        <v>7.0162194859491809</v>
      </c>
      <c r="D18" s="159">
        <f>(B18-C18)/C18</f>
        <v>0.21148428159507274</v>
      </c>
      <c r="E18" s="132">
        <v>45291</v>
      </c>
    </row>
    <row r="19" spans="1:5" ht="35.25" customHeight="1" thickBot="1" x14ac:dyDescent="0.25">
      <c r="A19" s="157" t="s">
        <v>184</v>
      </c>
      <c r="B19" s="158">
        <f>B15/B16</f>
        <v>11.321982347314098</v>
      </c>
      <c r="C19" s="158">
        <f>C15/C16</f>
        <v>6.9650940129482608</v>
      </c>
      <c r="D19" s="159">
        <f>(B19-C19)/C19</f>
        <v>0.62553187742567251</v>
      </c>
      <c r="E19" s="97">
        <v>45199</v>
      </c>
    </row>
    <row r="20" spans="1:5" ht="35.25" customHeight="1" thickBot="1" x14ac:dyDescent="0.25">
      <c r="A20" s="157" t="s">
        <v>185</v>
      </c>
      <c r="B20" s="158">
        <f>(B9-B10)/B6</f>
        <v>3.7292057761631812</v>
      </c>
      <c r="C20" s="158">
        <f>(C9-C10)/C6</f>
        <v>3.6694474168358258</v>
      </c>
      <c r="D20" s="159">
        <f>(B20-C20)/C20</f>
        <v>1.6285383748293414E-2</v>
      </c>
      <c r="E20" s="132">
        <v>45291</v>
      </c>
    </row>
  </sheetData>
  <mergeCells count="1">
    <mergeCell ref="D3:D4"/>
  </mergeCells>
  <pageMargins left="0.7" right="0.7" top="0.75" bottom="0.75" header="0.3" footer="0.3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52A7-CC58-4C67-A6EC-B02094D25C69}">
  <sheetPr>
    <tabColor rgb="FFFFC000"/>
    <pageSetUpPr fitToPage="1"/>
  </sheetPr>
  <dimension ref="A2:M32"/>
  <sheetViews>
    <sheetView zoomScale="85" zoomScaleNormal="85" workbookViewId="0">
      <selection activeCell="A16" sqref="A16"/>
    </sheetView>
  </sheetViews>
  <sheetFormatPr defaultRowHeight="11.25" x14ac:dyDescent="0.2"/>
  <cols>
    <col min="1" max="1" width="34.6640625" customWidth="1"/>
    <col min="2" max="3" width="21.83203125" bestFit="1" customWidth="1"/>
    <col min="4" max="4" width="11.83203125" style="33" bestFit="1" customWidth="1"/>
    <col min="5" max="5" width="24.5" style="33" customWidth="1"/>
    <col min="6" max="8" width="21.83203125" style="222" customWidth="1"/>
    <col min="9" max="9" width="30.6640625" customWidth="1"/>
  </cols>
  <sheetData>
    <row r="2" spans="1:13" ht="12" thickBot="1" x14ac:dyDescent="0.25"/>
    <row r="3" spans="1:13" ht="15" customHeight="1" x14ac:dyDescent="0.2">
      <c r="A3" s="84" t="s">
        <v>157</v>
      </c>
      <c r="B3" s="85" t="s">
        <v>161</v>
      </c>
      <c r="C3" s="96" t="s">
        <v>161</v>
      </c>
      <c r="D3" s="252" t="s">
        <v>102</v>
      </c>
      <c r="E3" s="220" t="s">
        <v>161</v>
      </c>
      <c r="F3" s="223" t="s">
        <v>161</v>
      </c>
      <c r="G3" s="223" t="s">
        <v>161</v>
      </c>
      <c r="H3" s="223" t="s">
        <v>161</v>
      </c>
    </row>
    <row r="4" spans="1:13" ht="15" customHeight="1" thickBot="1" x14ac:dyDescent="0.3">
      <c r="A4" s="86" t="s">
        <v>223</v>
      </c>
      <c r="B4" s="87">
        <v>45565</v>
      </c>
      <c r="C4" s="97">
        <v>45199</v>
      </c>
      <c r="D4" s="253"/>
      <c r="E4" s="87">
        <v>45291</v>
      </c>
      <c r="F4" s="87">
        <v>45199</v>
      </c>
      <c r="G4" s="205">
        <v>44926</v>
      </c>
      <c r="H4" s="205">
        <v>44834</v>
      </c>
      <c r="I4" s="131" t="s">
        <v>164</v>
      </c>
    </row>
    <row r="5" spans="1:13" ht="30.75" customHeight="1" thickBot="1" x14ac:dyDescent="0.25">
      <c r="A5" s="83" t="s">
        <v>162</v>
      </c>
      <c r="B5" s="88">
        <f>'Income Statement'!B22</f>
        <v>193492036</v>
      </c>
      <c r="C5" s="98">
        <f>'Income Statement'!C22</f>
        <v>180897789</v>
      </c>
      <c r="D5" s="103">
        <f>(B5-C5)/C5</f>
        <v>6.9620790113692321E-2</v>
      </c>
      <c r="E5" s="224">
        <v>234724747</v>
      </c>
      <c r="F5" s="224">
        <f t="shared" ref="F5:F11" si="0">C5</f>
        <v>180897789</v>
      </c>
      <c r="G5" s="224">
        <v>205421693.61569744</v>
      </c>
      <c r="H5" s="235"/>
      <c r="I5" s="205">
        <v>45199</v>
      </c>
    </row>
    <row r="6" spans="1:13" ht="16.5" thickBot="1" x14ac:dyDescent="0.25">
      <c r="A6" s="83" t="s">
        <v>158</v>
      </c>
      <c r="B6" s="88">
        <v>50020886</v>
      </c>
      <c r="C6" s="98">
        <v>46490812</v>
      </c>
      <c r="D6" s="103">
        <f t="shared" ref="D6:D22" si="1">(B6-C6)/C6</f>
        <v>7.5930573120555525E-2</v>
      </c>
      <c r="E6" s="224">
        <v>53978555</v>
      </c>
      <c r="F6" s="224">
        <f t="shared" si="0"/>
        <v>46490812</v>
      </c>
      <c r="G6" s="224">
        <v>43344722</v>
      </c>
      <c r="H6" s="235"/>
      <c r="I6" s="205">
        <v>45199</v>
      </c>
    </row>
    <row r="7" spans="1:13" ht="46.5" customHeight="1" thickBot="1" x14ac:dyDescent="0.25">
      <c r="A7" s="92" t="s">
        <v>159</v>
      </c>
      <c r="B7" s="93">
        <f>'Income Statement'!B78</f>
        <v>21077699</v>
      </c>
      <c r="C7" s="107">
        <f>'Income Statement'!C78</f>
        <v>22339131.500988659</v>
      </c>
      <c r="D7" s="103">
        <f t="shared" si="1"/>
        <v>-5.64673922499105E-2</v>
      </c>
      <c r="E7" s="224">
        <v>22672945</v>
      </c>
      <c r="F7" s="224">
        <f t="shared" si="0"/>
        <v>22339131.500988659</v>
      </c>
      <c r="G7" s="224">
        <v>13940230</v>
      </c>
      <c r="H7" s="235">
        <v>10595656</v>
      </c>
      <c r="I7" s="205">
        <v>45199</v>
      </c>
    </row>
    <row r="8" spans="1:13" ht="46.5" customHeight="1" thickBot="1" x14ac:dyDescent="0.25">
      <c r="A8" s="114" t="s">
        <v>165</v>
      </c>
      <c r="B8" s="155">
        <f>'Income Statement'!B8</f>
        <v>126792531</v>
      </c>
      <c r="C8" s="156">
        <f>'Income Statement'!C8</f>
        <v>115983423</v>
      </c>
      <c r="D8" s="103">
        <f t="shared" si="1"/>
        <v>9.3195283605313151E-2</v>
      </c>
      <c r="E8" s="224">
        <v>150886163</v>
      </c>
      <c r="F8" s="224">
        <f t="shared" si="0"/>
        <v>115983423</v>
      </c>
      <c r="G8" s="224">
        <v>234555704</v>
      </c>
      <c r="H8" s="235"/>
      <c r="I8" s="205">
        <v>45199</v>
      </c>
    </row>
    <row r="9" spans="1:13" ht="16.5" thickBot="1" x14ac:dyDescent="0.25">
      <c r="A9" s="92" t="s">
        <v>166</v>
      </c>
      <c r="B9" s="108">
        <f>'BS (2)'!B10</f>
        <v>343783552</v>
      </c>
      <c r="C9" s="109">
        <v>258048417</v>
      </c>
      <c r="D9" s="103">
        <f t="shared" si="1"/>
        <v>0.33224437489961428</v>
      </c>
      <c r="E9" s="224">
        <f>'BS (2)'!C10</f>
        <v>307944974</v>
      </c>
      <c r="F9" s="224">
        <f t="shared" si="0"/>
        <v>258048417</v>
      </c>
      <c r="G9" s="224">
        <v>79661430</v>
      </c>
      <c r="H9" s="235"/>
      <c r="I9" s="214">
        <v>45291</v>
      </c>
    </row>
    <row r="10" spans="1:13" ht="46.5" customHeight="1" thickBot="1" x14ac:dyDescent="0.25">
      <c r="A10" s="83" t="s">
        <v>167</v>
      </c>
      <c r="B10" s="88">
        <f>'BS (2)'!B19</f>
        <v>154217643</v>
      </c>
      <c r="C10" s="99">
        <v>102127001</v>
      </c>
      <c r="D10" s="104">
        <f t="shared" si="1"/>
        <v>0.51005749204365647</v>
      </c>
      <c r="E10" s="224">
        <f>'BS (2)'!C19</f>
        <v>133339798</v>
      </c>
      <c r="F10" s="224">
        <f t="shared" si="0"/>
        <v>102127001</v>
      </c>
      <c r="G10" s="224">
        <v>116456971.97</v>
      </c>
      <c r="H10" s="235"/>
      <c r="I10" s="214">
        <v>45291</v>
      </c>
    </row>
    <row r="11" spans="1:13" ht="15.75" x14ac:dyDescent="0.25">
      <c r="A11" s="83" t="s">
        <v>168</v>
      </c>
      <c r="B11" s="105">
        <f>1.5*B13</f>
        <v>238641336</v>
      </c>
      <c r="C11" s="105">
        <f>C13*0.978</f>
        <v>155594151.072</v>
      </c>
      <c r="D11" s="104">
        <f t="shared" si="1"/>
        <v>0.53374233128834359</v>
      </c>
      <c r="E11" s="224">
        <f>1.28*E13</f>
        <v>203640606.72</v>
      </c>
      <c r="F11" s="224">
        <f t="shared" si="0"/>
        <v>155594151.072</v>
      </c>
      <c r="G11" s="224">
        <v>116456971.97</v>
      </c>
      <c r="H11" s="235"/>
      <c r="I11" s="215"/>
    </row>
    <row r="12" spans="1:13" ht="16.5" thickBot="1" x14ac:dyDescent="0.25">
      <c r="A12" s="82">
        <v>45565</v>
      </c>
      <c r="B12" s="89" t="s">
        <v>160</v>
      </c>
      <c r="C12" s="106"/>
      <c r="D12" s="102"/>
      <c r="E12" s="225" t="s">
        <v>160</v>
      </c>
      <c r="F12" s="235"/>
      <c r="G12" s="235"/>
      <c r="H12" s="235"/>
    </row>
    <row r="13" spans="1:13" ht="35.25" customHeight="1" thickBot="1" x14ac:dyDescent="0.25">
      <c r="A13" s="92" t="s">
        <v>169</v>
      </c>
      <c r="B13" s="112">
        <v>159094224</v>
      </c>
      <c r="C13" s="113">
        <v>159094224</v>
      </c>
      <c r="D13" s="103">
        <f t="shared" si="1"/>
        <v>0</v>
      </c>
      <c r="E13" s="225">
        <v>159094224</v>
      </c>
      <c r="F13" s="235">
        <v>159094224</v>
      </c>
      <c r="G13" s="235">
        <v>159094224</v>
      </c>
      <c r="H13" s="235"/>
    </row>
    <row r="14" spans="1:13" ht="35.25" customHeight="1" thickBot="1" x14ac:dyDescent="0.25">
      <c r="A14" s="154" t="s">
        <v>170</v>
      </c>
      <c r="B14" s="153">
        <f>B7/B8</f>
        <v>0.16623770212458336</v>
      </c>
      <c r="C14" s="153">
        <f>C7/C8</f>
        <v>0.19260624426465373</v>
      </c>
      <c r="D14" s="103">
        <f t="shared" si="1"/>
        <v>-0.13690387993775657</v>
      </c>
      <c r="E14" s="221">
        <v>0.15026523671358785</v>
      </c>
      <c r="F14" s="240">
        <f>F7/F8</f>
        <v>0.19260624426465373</v>
      </c>
      <c r="G14" s="236">
        <v>6.7861527936184565E-2</v>
      </c>
      <c r="H14" s="236"/>
      <c r="I14" s="205">
        <v>45199</v>
      </c>
      <c r="M14">
        <f>C11/C13</f>
        <v>0.97799999999999998</v>
      </c>
    </row>
    <row r="15" spans="1:13" ht="35.25" customHeight="1" thickBot="1" x14ac:dyDescent="0.25">
      <c r="A15" s="154" t="s">
        <v>171</v>
      </c>
      <c r="B15" s="153">
        <f>B6/B8</f>
        <v>0.39450972076580759</v>
      </c>
      <c r="C15" s="153">
        <f>C6/C8</f>
        <v>0.40084014419888264</v>
      </c>
      <c r="D15" s="103">
        <f t="shared" si="1"/>
        <v>-1.5792887824963256E-2</v>
      </c>
      <c r="E15" s="221">
        <v>0.35774357255012179</v>
      </c>
      <c r="F15" s="240">
        <f>F6/F8</f>
        <v>0.40084014419888264</v>
      </c>
      <c r="G15" s="236">
        <v>5.943249199345841E-2</v>
      </c>
      <c r="H15" s="236"/>
      <c r="I15" s="205">
        <v>45199</v>
      </c>
    </row>
    <row r="16" spans="1:13" ht="32.25" customHeight="1" thickBot="1" x14ac:dyDescent="0.25">
      <c r="A16" s="92" t="s">
        <v>172</v>
      </c>
      <c r="B16" s="110">
        <f>B7/B6</f>
        <v>0.42137796199771432</v>
      </c>
      <c r="C16" s="111">
        <f>C7/C6</f>
        <v>0.48050637405491342</v>
      </c>
      <c r="D16" s="103">
        <f t="shared" si="1"/>
        <v>-0.12305437607044473</v>
      </c>
      <c r="E16" s="221">
        <v>0.42003616065676452</v>
      </c>
      <c r="F16" s="241">
        <f>F7/F6</f>
        <v>0.48050637405491342</v>
      </c>
      <c r="G16" s="236">
        <v>0.17499346923599038</v>
      </c>
      <c r="H16" s="236"/>
      <c r="I16" s="205">
        <v>45199</v>
      </c>
    </row>
    <row r="17" spans="1:10" ht="16.5" thickBot="1" x14ac:dyDescent="0.25">
      <c r="A17" s="81" t="s">
        <v>173</v>
      </c>
      <c r="B17" s="90">
        <f>B7/B5</f>
        <v>0.10893316043250482</v>
      </c>
      <c r="C17" s="100">
        <f>C7/C5</f>
        <v>0.1234903512335834</v>
      </c>
      <c r="D17" s="103">
        <f t="shared" si="1"/>
        <v>-0.11788120007484217</v>
      </c>
      <c r="E17" s="221">
        <v>9.6593756260391239E-2</v>
      </c>
      <c r="F17" s="241">
        <f>F7/F5</f>
        <v>0.1234903512335834</v>
      </c>
      <c r="G17" s="236">
        <v>8.354020842554247</v>
      </c>
      <c r="H17" s="236"/>
      <c r="I17" s="205">
        <v>45199</v>
      </c>
    </row>
    <row r="18" spans="1:10" ht="16.5" thickBot="1" x14ac:dyDescent="0.25">
      <c r="A18" s="81" t="s">
        <v>174</v>
      </c>
      <c r="B18" s="90">
        <f>B7/B9</f>
        <v>6.1310958239212093E-2</v>
      </c>
      <c r="C18" s="100">
        <f>C7/C9</f>
        <v>8.6569535131031855E-2</v>
      </c>
      <c r="D18" s="103">
        <f t="shared" si="1"/>
        <v>-0.29177212114617829</v>
      </c>
      <c r="E18" s="221">
        <v>7.3626611616658497E-2</v>
      </c>
      <c r="F18" s="241">
        <f>F7/F9</f>
        <v>8.6569535131031855E-2</v>
      </c>
      <c r="G18" s="236"/>
      <c r="H18" s="236"/>
      <c r="I18" s="214">
        <v>45291</v>
      </c>
    </row>
    <row r="19" spans="1:10" ht="16.5" thickBot="1" x14ac:dyDescent="0.25">
      <c r="A19" s="80" t="s">
        <v>175</v>
      </c>
      <c r="B19" s="91">
        <f>B7/B10</f>
        <v>0.13667501713795482</v>
      </c>
      <c r="C19" s="101">
        <f>C7/C10</f>
        <v>0.21873873982639183</v>
      </c>
      <c r="D19" s="103">
        <f t="shared" si="1"/>
        <v>-0.3751677583658441</v>
      </c>
      <c r="E19" s="221">
        <v>0.17003884316668907</v>
      </c>
      <c r="F19" s="241">
        <f>F7/F10</f>
        <v>0.21873873982639183</v>
      </c>
      <c r="G19" s="236">
        <v>8.7622477105139901E-2</v>
      </c>
      <c r="H19" s="236"/>
      <c r="I19" s="214">
        <v>45291</v>
      </c>
    </row>
    <row r="20" spans="1:10" ht="15.75" x14ac:dyDescent="0.2">
      <c r="A20" s="94" t="s">
        <v>226</v>
      </c>
      <c r="B20" s="95">
        <f>B11/B7</f>
        <v>11.321982347314098</v>
      </c>
      <c r="C20" s="95">
        <f>C11/C7</f>
        <v>6.9650940129482608</v>
      </c>
      <c r="D20" s="104">
        <f t="shared" ref="D20" si="2">(B20-C20)/C20</f>
        <v>0.62553187742567251</v>
      </c>
      <c r="E20" s="224">
        <v>8.9816566273150666</v>
      </c>
      <c r="F20" s="242">
        <f>F11/F7</f>
        <v>6.9650940129482608</v>
      </c>
      <c r="G20" s="235"/>
      <c r="H20" s="235"/>
      <c r="I20" s="205">
        <v>45199</v>
      </c>
    </row>
    <row r="21" spans="1:10" ht="16.5" thickBot="1" x14ac:dyDescent="0.25">
      <c r="A21" s="82">
        <v>45565</v>
      </c>
      <c r="B21" s="81"/>
      <c r="C21" s="81"/>
      <c r="D21" s="102"/>
      <c r="E21" s="224"/>
      <c r="F21" s="235"/>
      <c r="G21" s="235">
        <v>0.66645522961147075</v>
      </c>
      <c r="H21" s="235"/>
      <c r="I21" s="205">
        <v>45199</v>
      </c>
    </row>
    <row r="22" spans="1:10" ht="31.5" x14ac:dyDescent="0.2">
      <c r="A22" s="83" t="s">
        <v>228</v>
      </c>
      <c r="B22" s="204">
        <f>B7/B13</f>
        <v>0.13248563316792694</v>
      </c>
      <c r="C22" s="204">
        <f>C7/C13</f>
        <v>0.14041447225003378</v>
      </c>
      <c r="D22" s="104">
        <f t="shared" si="1"/>
        <v>-5.6467392249910583E-2</v>
      </c>
      <c r="E22" s="224">
        <v>0.14251268480997775</v>
      </c>
      <c r="F22" s="243">
        <f>F7/F13</f>
        <v>0.14041447225003378</v>
      </c>
      <c r="G22" s="235"/>
      <c r="H22" s="235"/>
      <c r="I22" s="205">
        <v>45199</v>
      </c>
    </row>
    <row r="23" spans="1:10" ht="16.5" thickBot="1" x14ac:dyDescent="0.25">
      <c r="A23" s="82">
        <v>45565</v>
      </c>
      <c r="B23" s="89"/>
      <c r="C23" s="89"/>
      <c r="D23" s="102"/>
      <c r="E23" s="225"/>
      <c r="F23" s="235"/>
      <c r="G23" s="235">
        <v>8.7622477105139901E-2</v>
      </c>
      <c r="H23" s="235"/>
    </row>
    <row r="24" spans="1:10" ht="16.5" thickBot="1" x14ac:dyDescent="0.25">
      <c r="A24" s="114" t="s">
        <v>227</v>
      </c>
      <c r="B24" s="115">
        <f>B11/'BS pt import 16'!B22</f>
        <v>0.92354835306425831</v>
      </c>
      <c r="C24" s="115">
        <f>C11/197912816</f>
        <v>0.78617521703091731</v>
      </c>
      <c r="D24" s="119">
        <f t="shared" ref="D24:D26" si="3">(B24-C24)/C24</f>
        <v>0.17473602965016721</v>
      </c>
      <c r="E24" s="226">
        <v>0.88055201262418281</v>
      </c>
      <c r="F24" s="244">
        <f>F11/197912816</f>
        <v>0.78617521703091731</v>
      </c>
      <c r="G24" s="237">
        <v>1.4743194196666751</v>
      </c>
      <c r="H24" s="237"/>
      <c r="I24" s="214">
        <v>45291</v>
      </c>
      <c r="J24" s="219">
        <v>0.77969999999999995</v>
      </c>
    </row>
    <row r="25" spans="1:10" ht="16.5" thickBot="1" x14ac:dyDescent="0.25">
      <c r="A25" s="141">
        <v>45565</v>
      </c>
      <c r="B25" s="116"/>
      <c r="C25" s="116"/>
      <c r="D25" s="117"/>
      <c r="E25" s="227"/>
      <c r="F25" s="237"/>
      <c r="G25" s="237">
        <v>1.0983483473290645</v>
      </c>
      <c r="H25" s="237"/>
      <c r="I25" s="193"/>
    </row>
    <row r="26" spans="1:10" ht="16.5" thickBot="1" x14ac:dyDescent="0.25">
      <c r="A26" s="118" t="s">
        <v>176</v>
      </c>
      <c r="B26" s="172">
        <f>B7/B13</f>
        <v>0.13248563316792694</v>
      </c>
      <c r="C26" s="172">
        <f>C7/C13</f>
        <v>0.14041447225003378</v>
      </c>
      <c r="D26" s="119">
        <f t="shared" si="3"/>
        <v>-5.6467392249910583E-2</v>
      </c>
      <c r="E26" s="226">
        <v>0.14251268480997775</v>
      </c>
      <c r="F26" s="245">
        <f>F7/F13</f>
        <v>0.14041447225003378</v>
      </c>
      <c r="G26" s="237">
        <v>0.50071855531348519</v>
      </c>
      <c r="H26" s="237"/>
      <c r="I26" s="205">
        <v>45199</v>
      </c>
    </row>
    <row r="27" spans="1:10" ht="31.5" x14ac:dyDescent="0.2">
      <c r="A27" s="120" t="s">
        <v>177</v>
      </c>
      <c r="B27" s="121">
        <f>B9/B13</f>
        <v>2.1608801586662252</v>
      </c>
      <c r="C27" s="121">
        <f>C9/C13</f>
        <v>1.6219848245402047</v>
      </c>
      <c r="D27" s="122">
        <f t="shared" ref="D27" si="4">(B27-C27)/C27</f>
        <v>0.33224437489961411</v>
      </c>
      <c r="E27" s="228">
        <v>1.9356137907307056</v>
      </c>
      <c r="F27" s="238">
        <f>F9/F13</f>
        <v>1.6219848245402047</v>
      </c>
      <c r="G27" s="238"/>
      <c r="H27" s="246"/>
      <c r="I27" s="214">
        <v>45291</v>
      </c>
    </row>
    <row r="28" spans="1:10" ht="31.5" x14ac:dyDescent="0.2">
      <c r="A28" s="247" t="s">
        <v>178</v>
      </c>
      <c r="B28" s="248">
        <f>'BS pt import 16'!B22/'bvb 30.09.2024'!B13</f>
        <v>1.6241705104265758</v>
      </c>
      <c r="C28" s="248">
        <f>'BS pt import 16'!C22/'bvb 30.09.2024'!C13</f>
        <v>1.4536336089737614</v>
      </c>
      <c r="D28" s="250">
        <f t="shared" ref="D28" si="5">(B28-C28)/C28</f>
        <v>0.11731766546950599</v>
      </c>
      <c r="E28" s="229">
        <v>1.4536336089737614</v>
      </c>
      <c r="F28" s="238">
        <f>'BS pt import 16'!C22/'bvb 30.09.2024'!C13</f>
        <v>1.4536336089737614</v>
      </c>
      <c r="G28" s="238"/>
      <c r="H28" s="246"/>
      <c r="I28" s="214">
        <v>45291</v>
      </c>
    </row>
    <row r="29" spans="1:10" ht="16.5" thickBot="1" x14ac:dyDescent="0.25">
      <c r="A29" s="247" t="s">
        <v>179</v>
      </c>
      <c r="B29" s="249">
        <f>B10/B13</f>
        <v>0.96934784382869865</v>
      </c>
      <c r="C29" s="249">
        <f>C10/C13</f>
        <v>0.64192777356895114</v>
      </c>
      <c r="D29" s="250">
        <f t="shared" ref="D29:D30" si="6">(B29-C29)/C29</f>
        <v>0.51005749204365658</v>
      </c>
      <c r="E29" s="229">
        <v>0.83811840962874928</v>
      </c>
      <c r="F29" s="238">
        <f>F10/F13</f>
        <v>0.64192777356895114</v>
      </c>
      <c r="G29" s="238"/>
      <c r="H29" s="246"/>
      <c r="I29" s="214">
        <v>45291</v>
      </c>
    </row>
    <row r="30" spans="1:10" ht="31.5" x14ac:dyDescent="0.2">
      <c r="A30" s="230" t="s">
        <v>225</v>
      </c>
      <c r="B30" s="231">
        <f>B11/((E7-F7)+B7)</f>
        <v>11.145468402151369</v>
      </c>
      <c r="C30" s="231">
        <f>C11/((G7-H7)+F7)</f>
        <v>6.0580881160629492</v>
      </c>
      <c r="D30" s="232">
        <f t="shared" si="6"/>
        <v>0.83976663736522605</v>
      </c>
      <c r="E30" s="224"/>
      <c r="F30" s="235"/>
      <c r="G30" s="235"/>
      <c r="H30" s="235"/>
      <c r="I30" s="205">
        <v>45199</v>
      </c>
    </row>
    <row r="31" spans="1:10" ht="16.5" thickBot="1" x14ac:dyDescent="0.25">
      <c r="A31" s="82">
        <v>45565</v>
      </c>
      <c r="B31" s="81"/>
      <c r="C31" s="81"/>
      <c r="D31" s="102"/>
      <c r="E31" s="224"/>
      <c r="F31" s="235"/>
      <c r="G31" s="235"/>
      <c r="H31" s="235"/>
      <c r="I31" s="205">
        <v>45199</v>
      </c>
    </row>
    <row r="32" spans="1:10" x14ac:dyDescent="0.2">
      <c r="F32" s="239"/>
      <c r="G32" s="239"/>
      <c r="H32" s="239"/>
    </row>
  </sheetData>
  <mergeCells count="1">
    <mergeCell ref="D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C1DC-39B8-4592-A011-0720D9A3F4D4}">
  <sheetPr>
    <tabColor rgb="FFFFC000"/>
    <pageSetUpPr fitToPage="1"/>
  </sheetPr>
  <dimension ref="A1:H52"/>
  <sheetViews>
    <sheetView showGridLines="0" tabSelected="1" zoomScale="110" zoomScaleNormal="110" workbookViewId="0">
      <selection activeCell="A6" sqref="A6:D17"/>
    </sheetView>
  </sheetViews>
  <sheetFormatPr defaultColWidth="9.33203125" defaultRowHeight="11.25" x14ac:dyDescent="0.2"/>
  <cols>
    <col min="1" max="1" width="57.83203125" style="12" customWidth="1"/>
    <col min="2" max="2" width="19.1640625" customWidth="1"/>
    <col min="3" max="3" width="16.6640625" customWidth="1"/>
    <col min="4" max="4" width="10.5" style="7" customWidth="1"/>
    <col min="5" max="5" width="12.1640625" customWidth="1"/>
    <col min="6" max="6" width="13.1640625" customWidth="1"/>
    <col min="7" max="7" width="11.5" style="5" customWidth="1"/>
    <col min="8" max="8" width="11.33203125" style="5" customWidth="1"/>
  </cols>
  <sheetData>
    <row r="1" spans="1:8" ht="15" x14ac:dyDescent="0.2">
      <c r="A1" s="254" t="s">
        <v>99</v>
      </c>
      <c r="B1" s="254"/>
      <c r="C1" s="254"/>
      <c r="D1" s="254"/>
    </row>
    <row r="2" spans="1:8" ht="15" x14ac:dyDescent="0.2">
      <c r="A2" s="254" t="s">
        <v>100</v>
      </c>
      <c r="B2" s="254"/>
      <c r="C2" s="254"/>
      <c r="D2" s="254"/>
    </row>
    <row r="3" spans="1:8" ht="15" x14ac:dyDescent="0.2">
      <c r="A3" s="254" t="s">
        <v>218</v>
      </c>
      <c r="B3" s="254"/>
      <c r="C3" s="254"/>
      <c r="D3" s="254"/>
    </row>
    <row r="4" spans="1:8" ht="15" x14ac:dyDescent="0.2">
      <c r="A4" s="254" t="s">
        <v>101</v>
      </c>
      <c r="B4" s="254"/>
      <c r="C4" s="254"/>
      <c r="D4" s="254"/>
    </row>
    <row r="5" spans="1:8" ht="15" x14ac:dyDescent="0.25">
      <c r="A5" s="11"/>
      <c r="D5" s="22"/>
    </row>
    <row r="6" spans="1:8" s="139" customFormat="1" ht="13.5" customHeight="1" x14ac:dyDescent="0.15">
      <c r="A6" s="137"/>
      <c r="B6" s="134" t="s">
        <v>220</v>
      </c>
      <c r="C6" s="198" t="s">
        <v>197</v>
      </c>
      <c r="D6" s="138" t="s">
        <v>102</v>
      </c>
      <c r="G6" s="140"/>
      <c r="H6" s="140"/>
    </row>
    <row r="7" spans="1:8" s="2" customFormat="1" ht="15" customHeight="1" x14ac:dyDescent="0.15">
      <c r="A7" s="1"/>
      <c r="B7" s="136"/>
      <c r="C7" s="135"/>
      <c r="D7" s="26"/>
      <c r="G7" s="27"/>
      <c r="H7" s="27"/>
    </row>
    <row r="8" spans="1:8" x14ac:dyDescent="0.2">
      <c r="A8" s="12" t="s">
        <v>11</v>
      </c>
      <c r="B8" s="147">
        <v>5364396</v>
      </c>
      <c r="C8" s="126">
        <v>6786357</v>
      </c>
      <c r="D8" s="34">
        <f>(B8-C8)/C8</f>
        <v>-0.20953230135107834</v>
      </c>
      <c r="E8" s="4"/>
      <c r="F8" s="4"/>
    </row>
    <row r="9" spans="1:8" x14ac:dyDescent="0.2">
      <c r="A9" s="12" t="s">
        <v>12</v>
      </c>
      <c r="B9" s="147">
        <v>230135396</v>
      </c>
      <c r="C9" s="126">
        <v>205300332</v>
      </c>
      <c r="D9" s="34">
        <f>(B9-C9)/C9</f>
        <v>0.12096942931392823</v>
      </c>
      <c r="E9" s="4"/>
      <c r="F9" s="4"/>
    </row>
    <row r="10" spans="1:8" x14ac:dyDescent="0.2">
      <c r="A10" s="12" t="s">
        <v>13</v>
      </c>
      <c r="B10" s="147">
        <v>54270</v>
      </c>
      <c r="C10" s="126">
        <v>54369</v>
      </c>
      <c r="D10" s="34">
        <f t="shared" ref="D10:D52" si="0">(B10-C10)/C10</f>
        <v>-1.8208905810296308E-3</v>
      </c>
      <c r="E10" s="4"/>
      <c r="F10" s="4"/>
    </row>
    <row r="11" spans="1:8" s="7" customFormat="1" x14ac:dyDescent="0.2">
      <c r="A11" s="28" t="s">
        <v>0</v>
      </c>
      <c r="B11" s="196">
        <v>235554061</v>
      </c>
      <c r="C11" s="127">
        <v>212141058</v>
      </c>
      <c r="D11" s="35">
        <f t="shared" si="0"/>
        <v>0.11036525989231184</v>
      </c>
      <c r="E11" s="8"/>
      <c r="F11" s="8"/>
      <c r="G11" s="38"/>
      <c r="H11" s="38"/>
    </row>
    <row r="12" spans="1:8" x14ac:dyDescent="0.2">
      <c r="A12" s="12" t="s">
        <v>14</v>
      </c>
      <c r="B12" s="147">
        <v>70202910</v>
      </c>
      <c r="C12" s="126">
        <v>57700705</v>
      </c>
      <c r="D12" s="34">
        <f t="shared" si="0"/>
        <v>0.21667334913845507</v>
      </c>
      <c r="E12" s="4"/>
      <c r="F12" s="4"/>
    </row>
    <row r="13" spans="1:8" x14ac:dyDescent="0.2">
      <c r="A13" s="12" t="s">
        <v>15</v>
      </c>
      <c r="B13" s="147">
        <v>34270806</v>
      </c>
      <c r="C13" s="126">
        <v>34905208</v>
      </c>
      <c r="D13" s="34">
        <f t="shared" si="0"/>
        <v>-1.8174995547942302E-2</v>
      </c>
      <c r="E13" s="4"/>
      <c r="F13" s="4"/>
    </row>
    <row r="14" spans="1:8" x14ac:dyDescent="0.2">
      <c r="A14" s="12" t="s">
        <v>16</v>
      </c>
      <c r="B14" s="147" t="s">
        <v>219</v>
      </c>
      <c r="C14" s="126" t="s">
        <v>200</v>
      </c>
      <c r="D14" s="34" t="s">
        <v>115</v>
      </c>
      <c r="E14" s="4"/>
      <c r="F14" s="4"/>
    </row>
    <row r="15" spans="1:8" x14ac:dyDescent="0.2">
      <c r="A15" s="12" t="s">
        <v>17</v>
      </c>
      <c r="B15" s="147">
        <v>1248357</v>
      </c>
      <c r="C15" s="126">
        <v>1756693</v>
      </c>
      <c r="D15" s="34">
        <f t="shared" si="0"/>
        <v>-0.28937099424885282</v>
      </c>
      <c r="E15" s="4"/>
      <c r="F15" s="4"/>
    </row>
    <row r="16" spans="1:8" s="7" customFormat="1" x14ac:dyDescent="0.2">
      <c r="A16" s="28" t="s">
        <v>1</v>
      </c>
      <c r="B16" s="196">
        <v>105722073</v>
      </c>
      <c r="C16" s="127">
        <v>94362606</v>
      </c>
      <c r="D16" s="35">
        <f t="shared" si="0"/>
        <v>0.12038102254191665</v>
      </c>
      <c r="E16" s="8"/>
      <c r="F16" s="8"/>
      <c r="G16" s="38"/>
      <c r="H16" s="38"/>
    </row>
    <row r="17" spans="1:8" s="7" customFormat="1" x14ac:dyDescent="0.2">
      <c r="A17" s="28" t="s">
        <v>103</v>
      </c>
      <c r="B17" s="196">
        <v>2507418</v>
      </c>
      <c r="C17" s="127">
        <v>1441310</v>
      </c>
      <c r="D17" s="35">
        <f t="shared" si="0"/>
        <v>0.73967987455856132</v>
      </c>
      <c r="E17" s="8"/>
      <c r="F17" s="8"/>
      <c r="G17" s="38"/>
      <c r="H17" s="38"/>
    </row>
    <row r="18" spans="1:8" x14ac:dyDescent="0.2">
      <c r="A18" s="13" t="s">
        <v>18</v>
      </c>
      <c r="B18" s="147">
        <v>973228</v>
      </c>
      <c r="C18" s="126">
        <v>711980</v>
      </c>
      <c r="D18" s="34">
        <f t="shared" si="0"/>
        <v>0.36693165538357819</v>
      </c>
      <c r="E18" s="4"/>
      <c r="F18" s="4"/>
    </row>
    <row r="19" spans="1:8" x14ac:dyDescent="0.2">
      <c r="A19" s="13" t="s">
        <v>19</v>
      </c>
      <c r="B19" s="147">
        <v>1534190</v>
      </c>
      <c r="C19" s="126">
        <v>729330</v>
      </c>
      <c r="D19" s="34">
        <f t="shared" si="0"/>
        <v>1.1035608023802668</v>
      </c>
      <c r="E19" s="4"/>
      <c r="F19" s="4"/>
    </row>
    <row r="20" spans="1:8" s="33" customFormat="1" ht="22.5" x14ac:dyDescent="0.2">
      <c r="A20" s="29" t="s">
        <v>126</v>
      </c>
      <c r="B20" s="147">
        <v>85248150</v>
      </c>
      <c r="C20" s="128">
        <v>76397539</v>
      </c>
      <c r="D20" s="36">
        <f t="shared" si="0"/>
        <v>0.11584942546382286</v>
      </c>
      <c r="E20" s="31"/>
      <c r="F20" s="31"/>
      <c r="G20" s="32"/>
      <c r="H20" s="32"/>
    </row>
    <row r="21" spans="1:8" s="7" customFormat="1" x14ac:dyDescent="0.2">
      <c r="A21" s="28" t="s">
        <v>104</v>
      </c>
      <c r="B21" s="196">
        <v>21307896</v>
      </c>
      <c r="C21" s="127">
        <v>18394323</v>
      </c>
      <c r="D21" s="35">
        <f t="shared" si="0"/>
        <v>0.15839522878879533</v>
      </c>
      <c r="E21" s="8"/>
      <c r="F21" s="8"/>
      <c r="G21" s="38"/>
      <c r="H21" s="38"/>
    </row>
    <row r="22" spans="1:8" s="7" customFormat="1" x14ac:dyDescent="0.2">
      <c r="A22" s="28" t="s">
        <v>105</v>
      </c>
      <c r="B22" s="196">
        <v>258396147</v>
      </c>
      <c r="C22" s="127">
        <v>231264711</v>
      </c>
      <c r="D22" s="35">
        <f t="shared" si="0"/>
        <v>0.11731766546950606</v>
      </c>
      <c r="E22" s="8"/>
      <c r="F22" s="8"/>
      <c r="G22" s="38"/>
      <c r="H22" s="38"/>
    </row>
    <row r="23" spans="1:8" s="33" customFormat="1" ht="22.5" x14ac:dyDescent="0.2">
      <c r="A23" s="29" t="s">
        <v>127</v>
      </c>
      <c r="B23" s="147">
        <v>102538384</v>
      </c>
      <c r="C23" s="128">
        <v>95954744</v>
      </c>
      <c r="D23" s="36">
        <f t="shared" si="0"/>
        <v>6.8611928139790571E-2</v>
      </c>
      <c r="E23" s="31"/>
      <c r="F23" s="31"/>
      <c r="G23" s="32"/>
      <c r="H23" s="32"/>
    </row>
    <row r="24" spans="1:8" x14ac:dyDescent="0.2">
      <c r="A24" s="12" t="s">
        <v>128</v>
      </c>
      <c r="B24" s="147">
        <v>16815</v>
      </c>
      <c r="C24" s="126">
        <v>385892</v>
      </c>
      <c r="D24" s="34">
        <f t="shared" si="0"/>
        <v>-0.95642563204212583</v>
      </c>
      <c r="E24" s="4"/>
      <c r="F24" s="4"/>
    </row>
    <row r="25" spans="1:8" s="7" customFormat="1" x14ac:dyDescent="0.2">
      <c r="A25" s="28" t="s">
        <v>106</v>
      </c>
      <c r="B25" s="196">
        <v>1762560</v>
      </c>
      <c r="C25" s="127">
        <v>1867001</v>
      </c>
      <c r="D25" s="35">
        <f t="shared" si="0"/>
        <v>-5.5940516368229047E-2</v>
      </c>
      <c r="E25" s="8"/>
      <c r="F25" s="8"/>
      <c r="G25" s="38"/>
      <c r="H25" s="38"/>
    </row>
    <row r="26" spans="1:8" s="7" customFormat="1" x14ac:dyDescent="0.2">
      <c r="A26" s="28" t="s">
        <v>20</v>
      </c>
      <c r="B26" s="196">
        <v>1762560</v>
      </c>
      <c r="C26" s="127">
        <v>1867001</v>
      </c>
      <c r="D26" s="35">
        <f t="shared" si="0"/>
        <v>-5.5940516368229047E-2</v>
      </c>
      <c r="E26" s="8"/>
      <c r="F26" s="8"/>
      <c r="G26" s="38"/>
      <c r="H26" s="38"/>
    </row>
    <row r="27" spans="1:8" x14ac:dyDescent="0.2">
      <c r="A27" s="13" t="s">
        <v>18</v>
      </c>
      <c r="B27" s="147">
        <v>139255</v>
      </c>
      <c r="C27" s="126">
        <v>282724</v>
      </c>
      <c r="D27" s="34">
        <f t="shared" si="0"/>
        <v>-0.50745249784241875</v>
      </c>
      <c r="E27" s="4"/>
      <c r="F27" s="4"/>
    </row>
    <row r="28" spans="1:8" x14ac:dyDescent="0.2">
      <c r="A28" s="13" t="s">
        <v>19</v>
      </c>
      <c r="B28" s="147">
        <v>1623305</v>
      </c>
      <c r="C28" s="126">
        <v>1584277</v>
      </c>
      <c r="D28" s="34">
        <f t="shared" si="0"/>
        <v>2.4634580947649937E-2</v>
      </c>
      <c r="E28" s="4"/>
      <c r="F28" s="4"/>
    </row>
    <row r="29" spans="1:8" s="7" customFormat="1" x14ac:dyDescent="0.2">
      <c r="A29" s="28" t="s">
        <v>21</v>
      </c>
      <c r="B29" s="148" t="s">
        <v>219</v>
      </c>
      <c r="C29" s="127" t="s">
        <v>200</v>
      </c>
      <c r="D29" s="37">
        <v>0</v>
      </c>
      <c r="E29" s="8"/>
      <c r="F29" s="8"/>
      <c r="G29" s="38"/>
      <c r="H29" s="38"/>
    </row>
    <row r="30" spans="1:8" x14ac:dyDescent="0.2">
      <c r="A30" s="13" t="s">
        <v>18</v>
      </c>
      <c r="B30" s="147" t="s">
        <v>219</v>
      </c>
      <c r="C30" s="126" t="s">
        <v>200</v>
      </c>
      <c r="D30" s="6">
        <v>0</v>
      </c>
      <c r="E30" s="4"/>
      <c r="F30" s="4"/>
    </row>
    <row r="31" spans="1:8" x14ac:dyDescent="0.2">
      <c r="A31" s="13" t="s">
        <v>19</v>
      </c>
      <c r="B31" s="147" t="s">
        <v>219</v>
      </c>
      <c r="C31" s="126" t="s">
        <v>200</v>
      </c>
      <c r="D31" s="6">
        <v>0</v>
      </c>
      <c r="E31" s="4"/>
      <c r="F31" s="4"/>
    </row>
    <row r="32" spans="1:8" s="43" customFormat="1" ht="22.5" x14ac:dyDescent="0.2">
      <c r="A32" s="39" t="s">
        <v>22</v>
      </c>
      <c r="B32" s="148" t="s">
        <v>219</v>
      </c>
      <c r="C32" s="127" t="s">
        <v>200</v>
      </c>
      <c r="D32" s="40">
        <v>0</v>
      </c>
      <c r="E32" s="41"/>
      <c r="F32" s="41"/>
      <c r="G32" s="42"/>
      <c r="H32" s="42"/>
    </row>
    <row r="33" spans="1:8" x14ac:dyDescent="0.2">
      <c r="A33" s="13" t="s">
        <v>18</v>
      </c>
      <c r="B33" s="147" t="s">
        <v>219</v>
      </c>
      <c r="C33" s="126" t="s">
        <v>200</v>
      </c>
      <c r="D33" s="6">
        <v>0</v>
      </c>
      <c r="E33" s="4"/>
      <c r="F33" s="4"/>
    </row>
    <row r="34" spans="1:8" x14ac:dyDescent="0.2">
      <c r="A34" s="13" t="s">
        <v>19</v>
      </c>
      <c r="B34" s="147" t="s">
        <v>219</v>
      </c>
      <c r="C34" s="126" t="s">
        <v>200</v>
      </c>
      <c r="D34" s="6">
        <v>0</v>
      </c>
      <c r="E34" s="4"/>
      <c r="F34" s="4"/>
    </row>
    <row r="35" spans="1:8" x14ac:dyDescent="0.2">
      <c r="A35" s="12" t="s">
        <v>23</v>
      </c>
      <c r="B35" s="147" t="s">
        <v>219</v>
      </c>
      <c r="C35" s="126" t="s">
        <v>200</v>
      </c>
      <c r="D35" s="6">
        <v>0</v>
      </c>
      <c r="E35" s="4"/>
      <c r="F35" s="4"/>
    </row>
    <row r="36" spans="1:8" s="7" customFormat="1" x14ac:dyDescent="0.2">
      <c r="A36" s="28" t="s">
        <v>2</v>
      </c>
      <c r="B36" s="196">
        <v>32318846</v>
      </c>
      <c r="C36" s="127">
        <v>31985512</v>
      </c>
      <c r="D36" s="35">
        <f t="shared" si="0"/>
        <v>1.0421405791472089E-2</v>
      </c>
      <c r="E36" s="8"/>
      <c r="F36" s="8"/>
      <c r="G36" s="38"/>
      <c r="H36" s="38"/>
    </row>
    <row r="37" spans="1:8" x14ac:dyDescent="0.2">
      <c r="A37" s="12" t="s">
        <v>24</v>
      </c>
      <c r="B37" s="147">
        <v>31818845</v>
      </c>
      <c r="C37" s="126">
        <v>31818845</v>
      </c>
      <c r="D37" s="34">
        <f t="shared" si="0"/>
        <v>0</v>
      </c>
      <c r="E37" s="4"/>
      <c r="F37" s="4"/>
    </row>
    <row r="38" spans="1:8" x14ac:dyDescent="0.2">
      <c r="A38" s="12" t="s">
        <v>25</v>
      </c>
      <c r="B38" s="147" t="s">
        <v>200</v>
      </c>
      <c r="C38" s="126" t="s">
        <v>200</v>
      </c>
      <c r="D38" s="6">
        <v>0</v>
      </c>
      <c r="E38" s="4"/>
      <c r="F38" s="4"/>
    </row>
    <row r="39" spans="1:8" x14ac:dyDescent="0.2">
      <c r="A39" s="12" t="s">
        <v>26</v>
      </c>
      <c r="B39" s="147" t="s">
        <v>200</v>
      </c>
      <c r="C39" s="126" t="s">
        <v>200</v>
      </c>
      <c r="D39" s="6">
        <v>0</v>
      </c>
      <c r="E39" s="4"/>
      <c r="F39" s="4"/>
    </row>
    <row r="40" spans="1:8" x14ac:dyDescent="0.2">
      <c r="A40" s="12" t="s">
        <v>27</v>
      </c>
      <c r="B40" s="147" t="s">
        <v>200</v>
      </c>
      <c r="C40" s="126" t="s">
        <v>200</v>
      </c>
      <c r="D40" s="6">
        <v>0</v>
      </c>
      <c r="E40" s="4"/>
      <c r="F40" s="4"/>
    </row>
    <row r="41" spans="1:8" x14ac:dyDescent="0.2">
      <c r="A41" s="12" t="s">
        <v>28</v>
      </c>
      <c r="B41" s="147">
        <v>500001</v>
      </c>
      <c r="C41" s="126">
        <v>166667</v>
      </c>
      <c r="D41" s="34">
        <f t="shared" si="0"/>
        <v>2</v>
      </c>
      <c r="E41" s="4"/>
      <c r="F41" s="4"/>
    </row>
    <row r="42" spans="1:8" x14ac:dyDescent="0.2">
      <c r="A42" s="12" t="s">
        <v>29</v>
      </c>
      <c r="B42" s="147">
        <v>734004</v>
      </c>
      <c r="C42" s="126">
        <v>734004</v>
      </c>
      <c r="D42" s="34">
        <f t="shared" si="0"/>
        <v>0</v>
      </c>
      <c r="E42" s="4"/>
      <c r="F42" s="4"/>
    </row>
    <row r="43" spans="1:8" x14ac:dyDescent="0.2">
      <c r="A43" s="12" t="s">
        <v>30</v>
      </c>
      <c r="B43" s="147">
        <v>31603166</v>
      </c>
      <c r="C43" s="126">
        <v>31716735</v>
      </c>
      <c r="D43" s="34">
        <f t="shared" si="0"/>
        <v>-3.5807279658514662E-3</v>
      </c>
      <c r="E43" s="4"/>
      <c r="F43" s="4"/>
    </row>
    <row r="44" spans="1:8" x14ac:dyDescent="0.2">
      <c r="A44" s="12" t="s">
        <v>31</v>
      </c>
      <c r="B44" s="147">
        <v>808213</v>
      </c>
      <c r="C44" s="126">
        <v>826434</v>
      </c>
      <c r="D44" s="34">
        <f t="shared" si="0"/>
        <v>-2.2047737629381173E-2</v>
      </c>
      <c r="E44" s="4"/>
      <c r="F44" s="4"/>
    </row>
    <row r="45" spans="1:8" x14ac:dyDescent="0.2">
      <c r="A45" s="12" t="s">
        <v>32</v>
      </c>
      <c r="B45" s="147">
        <v>65280</v>
      </c>
      <c r="C45" s="126">
        <v>-265281</v>
      </c>
      <c r="D45" s="34">
        <f t="shared" si="0"/>
        <v>-1.2460786863740714</v>
      </c>
      <c r="E45" s="4"/>
      <c r="F45" s="4"/>
    </row>
    <row r="46" spans="1:8" x14ac:dyDescent="0.2">
      <c r="A46" s="12" t="s">
        <v>33</v>
      </c>
      <c r="B46" s="147" t="s">
        <v>200</v>
      </c>
      <c r="C46" s="126" t="s">
        <v>200</v>
      </c>
      <c r="D46" s="6">
        <v>0</v>
      </c>
      <c r="E46" s="4"/>
      <c r="F46" s="4"/>
    </row>
    <row r="47" spans="1:8" x14ac:dyDescent="0.2">
      <c r="A47" s="12" t="s">
        <v>34</v>
      </c>
      <c r="B47" s="147">
        <v>200001</v>
      </c>
      <c r="C47" s="126" t="s">
        <v>200</v>
      </c>
      <c r="D47" s="6">
        <v>0</v>
      </c>
      <c r="E47" s="4"/>
      <c r="F47" s="4"/>
    </row>
    <row r="48" spans="1:8" x14ac:dyDescent="0.2">
      <c r="A48" s="12" t="s">
        <v>35</v>
      </c>
      <c r="B48" s="147">
        <v>67940996</v>
      </c>
      <c r="C48" s="126">
        <v>46089200</v>
      </c>
      <c r="D48" s="34">
        <f t="shared" si="0"/>
        <v>0.47411966360882812</v>
      </c>
      <c r="E48" s="4"/>
      <c r="F48" s="4"/>
    </row>
    <row r="49" spans="1:8" x14ac:dyDescent="0.2">
      <c r="A49" s="12" t="s">
        <v>36</v>
      </c>
      <c r="B49" s="147">
        <v>21077699</v>
      </c>
      <c r="C49" s="126">
        <v>22672945</v>
      </c>
      <c r="D49" s="34">
        <f t="shared" si="0"/>
        <v>-7.0359011588481332E-2</v>
      </c>
      <c r="E49" s="4"/>
      <c r="F49" s="4"/>
    </row>
    <row r="50" spans="1:8" x14ac:dyDescent="0.2">
      <c r="A50" s="12" t="s">
        <v>37</v>
      </c>
      <c r="B50" s="147" t="s">
        <v>200</v>
      </c>
      <c r="C50" s="126">
        <v>-419751</v>
      </c>
      <c r="D50" s="6">
        <v>0</v>
      </c>
      <c r="E50" s="4"/>
      <c r="F50" s="4"/>
    </row>
    <row r="51" spans="1:8" x14ac:dyDescent="0.2">
      <c r="A51" s="12" t="s">
        <v>38</v>
      </c>
      <c r="B51" s="147" t="s">
        <v>200</v>
      </c>
      <c r="C51" s="126" t="s">
        <v>200</v>
      </c>
      <c r="D51" s="194" t="s">
        <v>115</v>
      </c>
      <c r="E51" s="4"/>
      <c r="F51" s="4"/>
    </row>
    <row r="52" spans="1:8" s="7" customFormat="1" x14ac:dyDescent="0.2">
      <c r="A52" s="28" t="s">
        <v>39</v>
      </c>
      <c r="B52" s="196">
        <v>154217643</v>
      </c>
      <c r="C52" s="127">
        <v>133339798</v>
      </c>
      <c r="D52" s="35">
        <f t="shared" si="0"/>
        <v>0.1565762459007175</v>
      </c>
      <c r="E52" s="8"/>
      <c r="F52" s="8"/>
      <c r="G52" s="38"/>
      <c r="H52" s="38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5A1C-9284-45A8-B7D1-5E57C172518C}">
  <sheetPr>
    <tabColor rgb="FFFFC000"/>
    <pageSetUpPr fitToPage="1"/>
  </sheetPr>
  <dimension ref="A1:H27"/>
  <sheetViews>
    <sheetView showGridLines="0" topLeftCell="A2" zoomScale="110" zoomScaleNormal="110" workbookViewId="0">
      <selection activeCell="A16" sqref="A16"/>
    </sheetView>
  </sheetViews>
  <sheetFormatPr defaultColWidth="9.33203125" defaultRowHeight="11.25" x14ac:dyDescent="0.2"/>
  <cols>
    <col min="1" max="1" width="57.83203125" style="12" customWidth="1"/>
    <col min="2" max="2" width="19.1640625" customWidth="1"/>
    <col min="3" max="3" width="16.6640625" customWidth="1"/>
    <col min="4" max="4" width="9.83203125" style="7" customWidth="1"/>
    <col min="5" max="5" width="12.1640625" customWidth="1"/>
    <col min="6" max="6" width="13.1640625" customWidth="1"/>
    <col min="7" max="7" width="11.5" style="5" customWidth="1"/>
    <col min="8" max="8" width="11.33203125" style="5" customWidth="1"/>
  </cols>
  <sheetData>
    <row r="1" spans="1:8" ht="15" x14ac:dyDescent="0.2">
      <c r="A1" s="254" t="s">
        <v>99</v>
      </c>
      <c r="B1" s="254"/>
      <c r="C1" s="254"/>
      <c r="D1" s="254"/>
    </row>
    <row r="2" spans="1:8" ht="15" x14ac:dyDescent="0.2">
      <c r="A2" s="254" t="s">
        <v>100</v>
      </c>
      <c r="B2" s="254"/>
      <c r="C2" s="254"/>
      <c r="D2" s="254"/>
    </row>
    <row r="3" spans="1:8" ht="15" x14ac:dyDescent="0.2">
      <c r="A3" s="254" t="s">
        <v>218</v>
      </c>
      <c r="B3" s="254"/>
      <c r="C3" s="254"/>
      <c r="D3" s="254"/>
    </row>
    <row r="4" spans="1:8" ht="15" x14ac:dyDescent="0.2">
      <c r="A4" s="254" t="s">
        <v>101</v>
      </c>
      <c r="B4" s="254"/>
      <c r="C4" s="254"/>
      <c r="D4" s="254"/>
    </row>
    <row r="5" spans="1:8" ht="15" x14ac:dyDescent="0.25">
      <c r="A5" s="11"/>
      <c r="D5" s="22"/>
    </row>
    <row r="6" spans="1:8" s="2" customFormat="1" ht="15" customHeight="1" x14ac:dyDescent="0.15">
      <c r="A6" s="142" t="s">
        <v>125</v>
      </c>
      <c r="B6" s="134" t="s">
        <v>220</v>
      </c>
      <c r="C6" s="198" t="s">
        <v>197</v>
      </c>
      <c r="D6" s="138" t="s">
        <v>102</v>
      </c>
      <c r="G6" s="3"/>
      <c r="H6" s="3"/>
    </row>
    <row r="7" spans="1:8" s="7" customFormat="1" x14ac:dyDescent="0.2">
      <c r="A7" s="29" t="s">
        <v>0</v>
      </c>
      <c r="B7" s="143">
        <f>'BS pt import 16'!B11</f>
        <v>235554061</v>
      </c>
      <c r="C7" s="143">
        <f>'BS pt import 16'!C11</f>
        <v>212141058</v>
      </c>
      <c r="D7" s="144">
        <f t="shared" ref="D7:D20" si="0">(B7-C7)/C7</f>
        <v>0.11036525989231184</v>
      </c>
      <c r="E7" s="8"/>
      <c r="F7" s="8"/>
      <c r="G7" s="38"/>
      <c r="H7" s="38"/>
    </row>
    <row r="8" spans="1:8" s="7" customFormat="1" x14ac:dyDescent="0.2">
      <c r="A8" s="29" t="s">
        <v>1</v>
      </c>
      <c r="B8" s="143">
        <f>'BS pt import 16'!B16</f>
        <v>105722073</v>
      </c>
      <c r="C8" s="143">
        <f>'BS pt import 16'!C16</f>
        <v>94362606</v>
      </c>
      <c r="D8" s="144">
        <f t="shared" si="0"/>
        <v>0.12038102254191665</v>
      </c>
      <c r="E8" s="8"/>
      <c r="F8" s="8"/>
      <c r="G8" s="38"/>
      <c r="H8" s="38"/>
    </row>
    <row r="9" spans="1:8" s="7" customFormat="1" x14ac:dyDescent="0.2">
      <c r="A9" s="29" t="s">
        <v>103</v>
      </c>
      <c r="B9" s="143">
        <f>'BS pt import 16'!B17</f>
        <v>2507418</v>
      </c>
      <c r="C9" s="143">
        <f>'BS pt import 16'!C17</f>
        <v>1441310</v>
      </c>
      <c r="D9" s="144">
        <f t="shared" si="0"/>
        <v>0.73967987455856132</v>
      </c>
      <c r="E9" s="8"/>
      <c r="F9" s="8"/>
      <c r="G9" s="38"/>
      <c r="H9" s="38"/>
    </row>
    <row r="10" spans="1:8" s="7" customFormat="1" x14ac:dyDescent="0.2">
      <c r="A10" s="69" t="s">
        <v>124</v>
      </c>
      <c r="B10" s="145">
        <f>SUM(B7:B9)</f>
        <v>343783552</v>
      </c>
      <c r="C10" s="145">
        <f>SUM(C7:C9)</f>
        <v>307944974</v>
      </c>
      <c r="D10" s="146">
        <f t="shared" si="0"/>
        <v>0.11637981141397034</v>
      </c>
      <c r="E10" s="8"/>
      <c r="F10" s="8"/>
      <c r="G10" s="38"/>
      <c r="H10" s="38"/>
    </row>
    <row r="11" spans="1:8" s="7" customFormat="1" x14ac:dyDescent="0.2">
      <c r="A11" s="18"/>
      <c r="B11" s="6"/>
      <c r="C11" s="6"/>
      <c r="D11" s="34"/>
      <c r="E11" s="8"/>
      <c r="F11" s="8"/>
      <c r="G11" s="70"/>
      <c r="H11" s="70"/>
    </row>
    <row r="12" spans="1:8" x14ac:dyDescent="0.2">
      <c r="A12" s="13"/>
      <c r="B12" s="9"/>
      <c r="C12" s="9"/>
      <c r="D12" s="34"/>
      <c r="E12" s="4"/>
      <c r="F12" s="4"/>
    </row>
    <row r="13" spans="1:8" ht="14.25" customHeight="1" x14ac:dyDescent="0.2">
      <c r="A13" s="71" t="s">
        <v>125</v>
      </c>
      <c r="B13" s="134" t="s">
        <v>220</v>
      </c>
      <c r="C13" s="198" t="s">
        <v>197</v>
      </c>
      <c r="D13" s="24" t="s">
        <v>102</v>
      </c>
      <c r="E13" s="4"/>
      <c r="F13" s="4"/>
    </row>
    <row r="14" spans="1:8" s="33" customFormat="1" ht="22.5" x14ac:dyDescent="0.2">
      <c r="A14" s="29" t="s">
        <v>126</v>
      </c>
      <c r="B14" s="30">
        <f>'BS pt import 16'!B20</f>
        <v>85248150</v>
      </c>
      <c r="C14" s="30">
        <f>'BS pt import 16'!C20</f>
        <v>76397539</v>
      </c>
      <c r="D14" s="36">
        <f t="shared" si="0"/>
        <v>0.11584942546382286</v>
      </c>
      <c r="E14" s="31"/>
      <c r="F14" s="31"/>
      <c r="G14" s="32"/>
      <c r="H14" s="32"/>
    </row>
    <row r="15" spans="1:8" s="33" customFormat="1" ht="22.5" x14ac:dyDescent="0.2">
      <c r="A15" s="29" t="s">
        <v>127</v>
      </c>
      <c r="B15" s="30">
        <f>'BS pt import 16'!B23</f>
        <v>102538384</v>
      </c>
      <c r="C15" s="30">
        <f>'BS pt import 16'!C23</f>
        <v>95954744</v>
      </c>
      <c r="D15" s="36">
        <f t="shared" si="0"/>
        <v>6.8611928139790571E-2</v>
      </c>
      <c r="E15" s="31"/>
      <c r="F15" s="31"/>
      <c r="G15" s="32"/>
      <c r="H15" s="32"/>
    </row>
    <row r="16" spans="1:8" x14ac:dyDescent="0.2">
      <c r="A16" s="12" t="s">
        <v>128</v>
      </c>
      <c r="B16" s="9">
        <f>'BS pt import 16'!B24</f>
        <v>16815</v>
      </c>
      <c r="C16" s="9">
        <f>'BS pt import 16'!C24</f>
        <v>385892</v>
      </c>
      <c r="D16" s="36">
        <f t="shared" si="0"/>
        <v>-0.95642563204212583</v>
      </c>
      <c r="E16" s="4"/>
      <c r="F16" s="4"/>
    </row>
    <row r="17" spans="1:8" s="7" customFormat="1" x14ac:dyDescent="0.2">
      <c r="A17" s="12" t="s">
        <v>106</v>
      </c>
      <c r="B17" s="9">
        <f>'BS pt import 16'!B25</f>
        <v>1762560</v>
      </c>
      <c r="C17" s="9">
        <f>'BS pt import 16'!C25</f>
        <v>1867001</v>
      </c>
      <c r="D17" s="36">
        <f t="shared" si="0"/>
        <v>-5.5940516368229047E-2</v>
      </c>
      <c r="E17" s="8"/>
      <c r="F17" s="8"/>
      <c r="G17" s="38"/>
      <c r="H17" s="38"/>
    </row>
    <row r="18" spans="1:8" s="7" customFormat="1" x14ac:dyDescent="0.2">
      <c r="A18" s="72" t="s">
        <v>129</v>
      </c>
      <c r="B18" s="9">
        <f>B14+B15</f>
        <v>187786534</v>
      </c>
      <c r="C18" s="9">
        <f>C14+C15</f>
        <v>172352283</v>
      </c>
      <c r="D18" s="36">
        <f t="shared" si="0"/>
        <v>8.9550603748022303E-2</v>
      </c>
      <c r="E18" s="8"/>
      <c r="F18" s="8"/>
      <c r="G18" s="38"/>
      <c r="H18" s="38"/>
    </row>
    <row r="19" spans="1:8" s="7" customFormat="1" x14ac:dyDescent="0.2">
      <c r="A19" s="12" t="s">
        <v>39</v>
      </c>
      <c r="B19" s="9">
        <f>'BS pt import 16'!B52</f>
        <v>154217643</v>
      </c>
      <c r="C19" s="9">
        <f>'BS pt import 16'!C52</f>
        <v>133339798</v>
      </c>
      <c r="D19" s="36">
        <f t="shared" si="0"/>
        <v>0.1565762459007175</v>
      </c>
      <c r="E19" s="8"/>
      <c r="F19" s="8"/>
      <c r="G19" s="38"/>
      <c r="H19" s="38"/>
    </row>
    <row r="20" spans="1:8" ht="15" x14ac:dyDescent="0.25">
      <c r="A20" s="73" t="s">
        <v>130</v>
      </c>
      <c r="B20" s="74">
        <f>SUM(B16:B19)</f>
        <v>343783552</v>
      </c>
      <c r="C20" s="74">
        <f>SUM(C16:C19)</f>
        <v>307944974</v>
      </c>
      <c r="D20" s="125">
        <f t="shared" si="0"/>
        <v>0.11637981141397034</v>
      </c>
      <c r="E20" s="4"/>
      <c r="F20" s="4"/>
    </row>
    <row r="21" spans="1:8" x14ac:dyDescent="0.2">
      <c r="E21" s="4"/>
      <c r="F21" s="4"/>
    </row>
    <row r="22" spans="1:8" x14ac:dyDescent="0.2">
      <c r="A22" s="14"/>
      <c r="B22" s="9"/>
      <c r="D22" s="8"/>
      <c r="E22" s="4"/>
      <c r="F22" s="4"/>
    </row>
    <row r="23" spans="1:8" x14ac:dyDescent="0.2">
      <c r="A23" s="14"/>
      <c r="B23" s="9"/>
      <c r="D23" s="8"/>
      <c r="E23" s="4"/>
      <c r="F23" s="4"/>
    </row>
    <row r="24" spans="1:8" x14ac:dyDescent="0.2">
      <c r="A24" s="14"/>
      <c r="B24" s="9"/>
      <c r="D24" s="8"/>
      <c r="E24" s="4"/>
      <c r="F24" s="4"/>
    </row>
    <row r="26" spans="1:8" x14ac:dyDescent="0.2">
      <c r="A26" s="15"/>
    </row>
    <row r="27" spans="1:8" x14ac:dyDescent="0.2">
      <c r="A27" s="16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5ED5-680B-419E-939D-11C9A1B77313}">
  <sheetPr>
    <tabColor rgb="FFFFC000"/>
    <pageSetUpPr fitToPage="1"/>
  </sheetPr>
  <dimension ref="A1:H24"/>
  <sheetViews>
    <sheetView showGridLines="0" zoomScale="110" zoomScaleNormal="110" workbookViewId="0">
      <selection activeCell="A16" sqref="A16"/>
    </sheetView>
  </sheetViews>
  <sheetFormatPr defaultColWidth="9.33203125" defaultRowHeight="11.25" x14ac:dyDescent="0.2"/>
  <cols>
    <col min="1" max="1" width="57.83203125" style="12" customWidth="1"/>
    <col min="2" max="2" width="19.1640625" customWidth="1"/>
    <col min="3" max="3" width="16.6640625" customWidth="1"/>
    <col min="4" max="4" width="9.83203125" style="7" customWidth="1"/>
    <col min="5" max="5" width="12.1640625" customWidth="1"/>
    <col min="6" max="6" width="13.1640625" customWidth="1"/>
    <col min="7" max="7" width="11.5" style="5" customWidth="1"/>
    <col min="8" max="8" width="11.33203125" style="5" customWidth="1"/>
  </cols>
  <sheetData>
    <row r="1" spans="1:8" ht="15" x14ac:dyDescent="0.2">
      <c r="A1" s="254" t="s">
        <v>99</v>
      </c>
      <c r="B1" s="254"/>
      <c r="C1" s="254"/>
      <c r="D1" s="254"/>
    </row>
    <row r="2" spans="1:8" ht="15" x14ac:dyDescent="0.2">
      <c r="A2" s="254" t="s">
        <v>100</v>
      </c>
      <c r="B2" s="254"/>
      <c r="C2" s="254"/>
      <c r="D2" s="254"/>
    </row>
    <row r="3" spans="1:8" ht="15" x14ac:dyDescent="0.2">
      <c r="A3" s="254" t="s">
        <v>218</v>
      </c>
      <c r="B3" s="254"/>
      <c r="C3" s="254"/>
      <c r="D3" s="254"/>
    </row>
    <row r="4" spans="1:8" ht="15" x14ac:dyDescent="0.2">
      <c r="A4" s="254" t="s">
        <v>101</v>
      </c>
      <c r="B4" s="254"/>
      <c r="C4" s="254"/>
      <c r="D4" s="254"/>
    </row>
    <row r="5" spans="1:8" ht="15" x14ac:dyDescent="0.25">
      <c r="A5" s="11"/>
      <c r="D5" s="22"/>
    </row>
    <row r="6" spans="1:8" s="2" customFormat="1" ht="15" customHeight="1" x14ac:dyDescent="0.15">
      <c r="A6" s="142" t="s">
        <v>125</v>
      </c>
      <c r="B6" s="134" t="s">
        <v>220</v>
      </c>
      <c r="C6" s="198" t="s">
        <v>197</v>
      </c>
      <c r="D6" s="138" t="s">
        <v>102</v>
      </c>
      <c r="G6" s="3"/>
      <c r="H6" s="3"/>
    </row>
    <row r="7" spans="1:8" s="7" customFormat="1" x14ac:dyDescent="0.2">
      <c r="A7" s="29" t="s">
        <v>0</v>
      </c>
      <c r="B7" s="143">
        <f>'BS pt import 16'!B11</f>
        <v>235554061</v>
      </c>
      <c r="C7" s="143">
        <f>'BS pt import 16'!C11</f>
        <v>212141058</v>
      </c>
      <c r="D7" s="144">
        <f t="shared" ref="D7:D17" si="0">(B7-C7)/C7</f>
        <v>0.11036525989231184</v>
      </c>
      <c r="E7" s="8"/>
      <c r="F7" s="8"/>
      <c r="G7" s="38"/>
      <c r="H7" s="38"/>
    </row>
    <row r="8" spans="1:8" s="7" customFormat="1" x14ac:dyDescent="0.2">
      <c r="A8" s="29" t="s">
        <v>1</v>
      </c>
      <c r="B8" s="143">
        <f>'BS pt import 16'!B16</f>
        <v>105722073</v>
      </c>
      <c r="C8" s="143">
        <f>'BS pt import 16'!C16</f>
        <v>94362606</v>
      </c>
      <c r="D8" s="144">
        <f t="shared" si="0"/>
        <v>0.12038102254191665</v>
      </c>
      <c r="E8" s="8"/>
      <c r="F8" s="8"/>
      <c r="G8" s="38"/>
      <c r="H8" s="38"/>
    </row>
    <row r="9" spans="1:8" s="7" customFormat="1" x14ac:dyDescent="0.2">
      <c r="A9" s="29" t="s">
        <v>103</v>
      </c>
      <c r="B9" s="143">
        <f>'BS pt import 16'!B17</f>
        <v>2507418</v>
      </c>
      <c r="C9" s="143">
        <f>'BS pt import 16'!C17</f>
        <v>1441310</v>
      </c>
      <c r="D9" s="144">
        <f t="shared" si="0"/>
        <v>0.73967987455856132</v>
      </c>
      <c r="E9" s="8"/>
      <c r="F9" s="8"/>
      <c r="G9" s="38"/>
      <c r="H9" s="38"/>
    </row>
    <row r="10" spans="1:8" s="7" customFormat="1" x14ac:dyDescent="0.2">
      <c r="A10" s="69" t="s">
        <v>124</v>
      </c>
      <c r="B10" s="145">
        <f>SUM(B7:B9)</f>
        <v>343783552</v>
      </c>
      <c r="C10" s="145">
        <f>SUM(C7:C9)</f>
        <v>307944974</v>
      </c>
      <c r="D10" s="146">
        <f t="shared" si="0"/>
        <v>0.11637981141397034</v>
      </c>
      <c r="E10" s="8"/>
      <c r="F10" s="8"/>
      <c r="G10" s="38"/>
      <c r="H10" s="38"/>
    </row>
    <row r="11" spans="1:8" s="33" customFormat="1" ht="22.5" x14ac:dyDescent="0.2">
      <c r="A11" s="29" t="s">
        <v>126</v>
      </c>
      <c r="B11" s="30">
        <f>'BS pt import 16'!B20</f>
        <v>85248150</v>
      </c>
      <c r="C11" s="30">
        <f>'BS pt import 16'!C20</f>
        <v>76397539</v>
      </c>
      <c r="D11" s="36">
        <f t="shared" si="0"/>
        <v>0.11584942546382286</v>
      </c>
      <c r="E11" s="31"/>
      <c r="F11" s="31"/>
      <c r="G11" s="32"/>
      <c r="H11" s="32"/>
    </row>
    <row r="12" spans="1:8" s="33" customFormat="1" ht="22.5" x14ac:dyDescent="0.2">
      <c r="A12" s="29" t="s">
        <v>127</v>
      </c>
      <c r="B12" s="30">
        <f>'BS pt import 16'!B23</f>
        <v>102538384</v>
      </c>
      <c r="C12" s="30">
        <f>'BS pt import 16'!C23</f>
        <v>95954744</v>
      </c>
      <c r="D12" s="36">
        <f t="shared" si="0"/>
        <v>6.8611928139790571E-2</v>
      </c>
      <c r="E12" s="31"/>
      <c r="F12" s="31"/>
      <c r="G12" s="32"/>
      <c r="H12" s="32"/>
    </row>
    <row r="13" spans="1:8" s="7" customFormat="1" x14ac:dyDescent="0.2">
      <c r="A13" s="169" t="s">
        <v>129</v>
      </c>
      <c r="B13" s="170">
        <f>B11+B12</f>
        <v>187786534</v>
      </c>
      <c r="C13" s="170">
        <f>C11+C12</f>
        <v>172352283</v>
      </c>
      <c r="D13" s="125">
        <f>(B13-C13)/C13</f>
        <v>8.9550603748022303E-2</v>
      </c>
      <c r="E13" s="8"/>
      <c r="F13" s="8"/>
      <c r="G13" s="38"/>
      <c r="H13" s="38"/>
    </row>
    <row r="14" spans="1:8" x14ac:dyDescent="0.2">
      <c r="A14" s="29" t="s">
        <v>128</v>
      </c>
      <c r="B14" s="30">
        <f>'BS pt import 16'!B24</f>
        <v>16815</v>
      </c>
      <c r="C14" s="30">
        <f>'BS pt import 16'!C24</f>
        <v>385892</v>
      </c>
      <c r="D14" s="36">
        <f t="shared" si="0"/>
        <v>-0.95642563204212583</v>
      </c>
      <c r="E14" s="4"/>
      <c r="F14" s="4"/>
    </row>
    <row r="15" spans="1:8" s="7" customFormat="1" x14ac:dyDescent="0.2">
      <c r="A15" s="29" t="s">
        <v>106</v>
      </c>
      <c r="B15" s="30">
        <f>'BS pt import 16'!B25</f>
        <v>1762560</v>
      </c>
      <c r="C15" s="30">
        <f>'BS pt import 16'!C25</f>
        <v>1867001</v>
      </c>
      <c r="D15" s="36">
        <f t="shared" si="0"/>
        <v>-5.5940516368229047E-2</v>
      </c>
      <c r="E15" s="8"/>
      <c r="F15" s="8"/>
      <c r="G15" s="38"/>
      <c r="H15" s="38"/>
    </row>
    <row r="16" spans="1:8" s="7" customFormat="1" x14ac:dyDescent="0.2">
      <c r="A16" s="29" t="s">
        <v>39</v>
      </c>
      <c r="B16" s="30">
        <f>'BS pt import 16'!B52</f>
        <v>154217643</v>
      </c>
      <c r="C16" s="30">
        <f>'BS pt import 16'!C52</f>
        <v>133339798</v>
      </c>
      <c r="D16" s="36">
        <f t="shared" si="0"/>
        <v>0.1565762459007175</v>
      </c>
      <c r="E16" s="8"/>
      <c r="F16" s="8"/>
      <c r="G16" s="38"/>
      <c r="H16" s="38"/>
    </row>
    <row r="17" spans="1:6" ht="15" x14ac:dyDescent="0.2">
      <c r="A17" s="167" t="s">
        <v>130</v>
      </c>
      <c r="B17" s="168">
        <f>SUM(B13:B16)</f>
        <v>343783552</v>
      </c>
      <c r="C17" s="168">
        <f>SUM(C13:C16)</f>
        <v>307944974</v>
      </c>
      <c r="D17" s="125">
        <f t="shared" si="0"/>
        <v>0.11637981141397034</v>
      </c>
      <c r="E17" s="4"/>
      <c r="F17" s="4"/>
    </row>
    <row r="18" spans="1:6" x14ac:dyDescent="0.2">
      <c r="E18" s="4"/>
      <c r="F18" s="4"/>
    </row>
    <row r="19" spans="1:6" x14ac:dyDescent="0.2">
      <c r="A19" s="14"/>
      <c r="B19" s="9"/>
      <c r="D19" s="8"/>
      <c r="E19" s="4"/>
      <c r="F19" s="4"/>
    </row>
    <row r="20" spans="1:6" x14ac:dyDescent="0.2">
      <c r="A20" s="14"/>
      <c r="B20" s="9"/>
      <c r="D20" s="8"/>
      <c r="E20" s="4"/>
      <c r="F20" s="4"/>
    </row>
    <row r="21" spans="1:6" x14ac:dyDescent="0.2">
      <c r="A21" s="14"/>
      <c r="B21" s="9"/>
      <c r="D21" s="8"/>
      <c r="E21" s="4"/>
      <c r="F21" s="4"/>
    </row>
    <row r="23" spans="1:6" x14ac:dyDescent="0.2">
      <c r="A23" s="15"/>
    </row>
    <row r="24" spans="1:6" x14ac:dyDescent="0.2">
      <c r="A24" s="16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13CF-DDD8-40BC-9297-6A3067A2F8D3}">
  <sheetPr>
    <tabColor rgb="FFFFC000"/>
    <pageSetUpPr fitToPage="1"/>
  </sheetPr>
  <dimension ref="A1:D88"/>
  <sheetViews>
    <sheetView showGridLines="0" zoomScale="120" zoomScaleNormal="120" workbookViewId="0">
      <selection activeCell="B32" sqref="B32"/>
    </sheetView>
  </sheetViews>
  <sheetFormatPr defaultRowHeight="11.25" outlineLevelRow="1" x14ac:dyDescent="0.2"/>
  <cols>
    <col min="1" max="1" width="54.1640625" style="12" customWidth="1"/>
    <col min="2" max="2" width="18.83203125" customWidth="1"/>
    <col min="3" max="3" width="20.5" customWidth="1"/>
    <col min="4" max="4" width="11.33203125" style="7" bestFit="1" customWidth="1"/>
  </cols>
  <sheetData>
    <row r="1" spans="1:4" ht="15" x14ac:dyDescent="0.2">
      <c r="A1" s="254" t="s">
        <v>99</v>
      </c>
      <c r="B1" s="254"/>
      <c r="C1" s="254"/>
      <c r="D1" s="254"/>
    </row>
    <row r="2" spans="1:4" ht="15" x14ac:dyDescent="0.2">
      <c r="A2" s="254" t="s">
        <v>107</v>
      </c>
      <c r="B2" s="254"/>
      <c r="C2" s="254"/>
      <c r="D2" s="254"/>
    </row>
    <row r="3" spans="1:4" ht="15" x14ac:dyDescent="0.2">
      <c r="A3" s="254" t="s">
        <v>218</v>
      </c>
      <c r="B3" s="254"/>
      <c r="C3" s="254"/>
      <c r="D3" s="254"/>
    </row>
    <row r="4" spans="1:4" ht="15" x14ac:dyDescent="0.2">
      <c r="A4" s="254" t="s">
        <v>101</v>
      </c>
      <c r="B4" s="254"/>
      <c r="C4" s="254"/>
      <c r="D4" s="254"/>
    </row>
    <row r="5" spans="1:4" x14ac:dyDescent="0.2">
      <c r="A5" s="10"/>
      <c r="B5" s="25"/>
      <c r="C5" s="25"/>
    </row>
    <row r="6" spans="1:4" ht="16.5" customHeight="1" x14ac:dyDescent="0.2">
      <c r="A6" s="17"/>
      <c r="B6" s="23" t="s">
        <v>220</v>
      </c>
      <c r="C6" s="23" t="s">
        <v>221</v>
      </c>
      <c r="D6" s="24" t="s">
        <v>102</v>
      </c>
    </row>
    <row r="7" spans="1:4" x14ac:dyDescent="0.2">
      <c r="A7" s="18"/>
      <c r="B7" s="44"/>
      <c r="C7" s="44"/>
    </row>
    <row r="8" spans="1:4" x14ac:dyDescent="0.2">
      <c r="A8" s="28" t="s">
        <v>3</v>
      </c>
      <c r="B8" s="149">
        <v>126792531</v>
      </c>
      <c r="C8" s="149">
        <v>115983423</v>
      </c>
      <c r="D8" s="125">
        <f>(B8-C8)/C8</f>
        <v>9.3195283605313151E-2</v>
      </c>
    </row>
    <row r="9" spans="1:4" x14ac:dyDescent="0.2">
      <c r="A9" s="12" t="s">
        <v>40</v>
      </c>
      <c r="B9" s="174">
        <v>126149782</v>
      </c>
      <c r="C9" s="174">
        <v>115397099</v>
      </c>
      <c r="D9" s="36">
        <f>(B9-C9)/C9</f>
        <v>9.3179838082411412E-2</v>
      </c>
    </row>
    <row r="10" spans="1:4" x14ac:dyDescent="0.2">
      <c r="A10" s="12" t="s">
        <v>41</v>
      </c>
      <c r="B10" s="175">
        <v>642749</v>
      </c>
      <c r="C10" s="175">
        <v>693011</v>
      </c>
      <c r="D10" s="36">
        <f>(B10-C10)/C10</f>
        <v>-7.2526987306117799E-2</v>
      </c>
    </row>
    <row r="11" spans="1:4" x14ac:dyDescent="0.2">
      <c r="A11" s="12" t="s">
        <v>42</v>
      </c>
      <c r="B11" s="174" t="s">
        <v>236</v>
      </c>
      <c r="C11" s="174">
        <v>-106686</v>
      </c>
      <c r="D11" s="176">
        <v>0</v>
      </c>
    </row>
    <row r="12" spans="1:4" x14ac:dyDescent="0.2">
      <c r="A12" s="12" t="s">
        <v>153</v>
      </c>
      <c r="B12" s="174" t="s">
        <v>236</v>
      </c>
      <c r="C12" s="174">
        <v>0</v>
      </c>
      <c r="D12" s="176">
        <v>0</v>
      </c>
    </row>
    <row r="13" spans="1:4" x14ac:dyDescent="0.2">
      <c r="A13" s="12" t="s">
        <v>44</v>
      </c>
      <c r="B13" s="174">
        <v>35301082</v>
      </c>
      <c r="C13" s="174">
        <v>39173530</v>
      </c>
      <c r="D13" s="36">
        <f>(B13-C13)/C13</f>
        <v>-9.8853690234196406E-2</v>
      </c>
    </row>
    <row r="14" spans="1:4" x14ac:dyDescent="0.2">
      <c r="A14" s="12" t="s">
        <v>45</v>
      </c>
      <c r="B14" s="174" t="s">
        <v>236</v>
      </c>
      <c r="C14" s="174">
        <v>0</v>
      </c>
      <c r="D14" s="176">
        <v>0</v>
      </c>
    </row>
    <row r="15" spans="1:4" x14ac:dyDescent="0.2">
      <c r="A15" s="12" t="s">
        <v>46</v>
      </c>
      <c r="B15" s="174">
        <v>14001536</v>
      </c>
      <c r="C15" s="174">
        <v>5933178</v>
      </c>
      <c r="D15" s="36">
        <f>(B15-C15)/C15</f>
        <v>1.3598712191004552</v>
      </c>
    </row>
    <row r="16" spans="1:4" x14ac:dyDescent="0.2">
      <c r="A16" s="12" t="s">
        <v>47</v>
      </c>
      <c r="B16" s="174" t="s">
        <v>236</v>
      </c>
      <c r="C16" s="174">
        <v>0</v>
      </c>
      <c r="D16" s="176">
        <v>0</v>
      </c>
    </row>
    <row r="17" spans="1:4" x14ac:dyDescent="0.2">
      <c r="A17" s="12" t="s">
        <v>48</v>
      </c>
      <c r="B17" s="174" t="s">
        <v>236</v>
      </c>
      <c r="C17" s="174">
        <v>0</v>
      </c>
      <c r="D17" s="176">
        <v>0</v>
      </c>
    </row>
    <row r="18" spans="1:4" x14ac:dyDescent="0.2">
      <c r="A18" s="12" t="s">
        <v>49</v>
      </c>
      <c r="B18" s="174">
        <v>16919070</v>
      </c>
      <c r="C18" s="174">
        <v>18480826</v>
      </c>
      <c r="D18" s="36">
        <f>(B18-C18)/C18</f>
        <v>-8.4506828861437247E-2</v>
      </c>
    </row>
    <row r="19" spans="1:4" x14ac:dyDescent="0.2">
      <c r="A19" s="12" t="s">
        <v>50</v>
      </c>
      <c r="B19" s="174">
        <v>477816</v>
      </c>
      <c r="C19" s="174">
        <v>1326832</v>
      </c>
      <c r="D19" s="36">
        <f>(B19-C19)/C19</f>
        <v>-0.63988206494868982</v>
      </c>
    </row>
    <row r="20" spans="1:4" x14ac:dyDescent="0.2">
      <c r="A20" s="19" t="s">
        <v>51</v>
      </c>
      <c r="B20" s="174" t="s">
        <v>236</v>
      </c>
      <c r="C20" s="174">
        <v>66012</v>
      </c>
      <c r="D20" s="176">
        <v>0</v>
      </c>
    </row>
    <row r="21" spans="1:4" x14ac:dyDescent="0.2">
      <c r="A21" s="19" t="s">
        <v>52</v>
      </c>
      <c r="B21" s="174" t="s">
        <v>236</v>
      </c>
      <c r="C21" s="174"/>
      <c r="D21" s="176">
        <v>0</v>
      </c>
    </row>
    <row r="22" spans="1:4" x14ac:dyDescent="0.2">
      <c r="A22" s="39" t="s">
        <v>4</v>
      </c>
      <c r="B22" s="149">
        <v>193492036</v>
      </c>
      <c r="C22" s="149">
        <v>180897789</v>
      </c>
      <c r="D22" s="125">
        <f t="shared" ref="D22:D32" si="0">(B22-C22)/C22</f>
        <v>6.9620790113692321E-2</v>
      </c>
    </row>
    <row r="23" spans="1:4" x14ac:dyDescent="0.2">
      <c r="A23" s="12" t="s">
        <v>53</v>
      </c>
      <c r="B23" s="174">
        <v>89408585</v>
      </c>
      <c r="C23" s="233">
        <v>85087079.115100667</v>
      </c>
      <c r="D23" s="36">
        <f t="shared" si="0"/>
        <v>5.0789214177318985E-2</v>
      </c>
    </row>
    <row r="24" spans="1:4" x14ac:dyDescent="0.2">
      <c r="A24" s="12" t="s">
        <v>54</v>
      </c>
      <c r="B24" s="175">
        <v>1674267</v>
      </c>
      <c r="C24" s="234">
        <v>1595470.88</v>
      </c>
      <c r="D24" s="36">
        <f t="shared" si="0"/>
        <v>4.938737584480396E-2</v>
      </c>
    </row>
    <row r="25" spans="1:4" x14ac:dyDescent="0.2">
      <c r="A25" s="12" t="s">
        <v>55</v>
      </c>
      <c r="B25" s="175">
        <v>2465472</v>
      </c>
      <c r="C25" s="234">
        <v>2746094</v>
      </c>
      <c r="D25" s="36">
        <f t="shared" si="0"/>
        <v>-0.10218950990024377</v>
      </c>
    </row>
    <row r="26" spans="1:4" x14ac:dyDescent="0.2">
      <c r="A26" s="12" t="s">
        <v>56</v>
      </c>
      <c r="B26" s="175">
        <v>762975</v>
      </c>
      <c r="C26" s="234">
        <v>526216.37452371605</v>
      </c>
      <c r="D26" s="36">
        <f t="shared" si="0"/>
        <v>0.4499263742801175</v>
      </c>
    </row>
    <row r="27" spans="1:4" x14ac:dyDescent="0.2">
      <c r="A27" s="12" t="s">
        <v>57</v>
      </c>
      <c r="B27" s="174">
        <v>-174970</v>
      </c>
      <c r="C27" s="233">
        <v>-88693.450000000012</v>
      </c>
      <c r="D27" s="36">
        <f t="shared" si="0"/>
        <v>0.97274996067917052</v>
      </c>
    </row>
    <row r="28" spans="1:4" x14ac:dyDescent="0.2">
      <c r="A28" s="39" t="s">
        <v>5</v>
      </c>
      <c r="B28" s="149">
        <v>20114215</v>
      </c>
      <c r="C28" s="149">
        <v>18306270</v>
      </c>
      <c r="D28" s="125">
        <f t="shared" si="0"/>
        <v>9.8760970967870565E-2</v>
      </c>
    </row>
    <row r="29" spans="1:4" x14ac:dyDescent="0.2">
      <c r="A29" s="12" t="s">
        <v>58</v>
      </c>
      <c r="B29" s="174">
        <v>19608141</v>
      </c>
      <c r="C29" s="174">
        <v>17896402</v>
      </c>
      <c r="D29" s="36">
        <f t="shared" si="0"/>
        <v>9.5647102696955505E-2</v>
      </c>
    </row>
    <row r="30" spans="1:4" x14ac:dyDescent="0.2">
      <c r="A30" s="12" t="s">
        <v>59</v>
      </c>
      <c r="B30" s="174">
        <v>506074</v>
      </c>
      <c r="C30" s="174">
        <v>409868</v>
      </c>
      <c r="D30" s="36">
        <f t="shared" si="0"/>
        <v>0.23472435027862629</v>
      </c>
    </row>
    <row r="31" spans="1:4" ht="22.5" x14ac:dyDescent="0.2">
      <c r="A31" s="39" t="s">
        <v>6</v>
      </c>
      <c r="B31" s="149">
        <v>18611728</v>
      </c>
      <c r="C31" s="149">
        <v>15465423.651728775</v>
      </c>
      <c r="D31" s="125">
        <f t="shared" si="0"/>
        <v>0.20344120013288614</v>
      </c>
    </row>
    <row r="32" spans="1:4" x14ac:dyDescent="0.2">
      <c r="A32" s="12" t="s">
        <v>211</v>
      </c>
      <c r="B32" s="174">
        <v>18612447</v>
      </c>
      <c r="C32" s="174">
        <v>15466142.651728775</v>
      </c>
      <c r="D32" s="36">
        <f t="shared" si="0"/>
        <v>0.20343174242735546</v>
      </c>
    </row>
    <row r="33" spans="1:4" x14ac:dyDescent="0.2">
      <c r="A33" s="12" t="s">
        <v>212</v>
      </c>
      <c r="B33" s="174" t="s">
        <v>236</v>
      </c>
      <c r="C33" s="174"/>
      <c r="D33" s="36"/>
    </row>
    <row r="34" spans="1:4" x14ac:dyDescent="0.2">
      <c r="A34" s="12" t="s">
        <v>213</v>
      </c>
      <c r="B34" s="174">
        <v>-719</v>
      </c>
      <c r="C34" s="174">
        <v>-719</v>
      </c>
      <c r="D34" s="36">
        <f>(B34-C34)/C34</f>
        <v>0</v>
      </c>
    </row>
    <row r="35" spans="1:4" x14ac:dyDescent="0.2">
      <c r="A35" s="39" t="s">
        <v>7</v>
      </c>
      <c r="B35" s="149">
        <v>-135452</v>
      </c>
      <c r="C35" s="149">
        <v>1698648</v>
      </c>
      <c r="D35" s="125">
        <f>(B35-C35)/C35</f>
        <v>-1.0797410646584813</v>
      </c>
    </row>
    <row r="36" spans="1:4" x14ac:dyDescent="0.2">
      <c r="A36" s="12" t="s">
        <v>62</v>
      </c>
      <c r="B36" s="174">
        <v>135452</v>
      </c>
      <c r="C36" s="174">
        <v>177675</v>
      </c>
      <c r="D36" s="36">
        <f>(B36-C36)/C36</f>
        <v>-0.23764176164345013</v>
      </c>
    </row>
    <row r="37" spans="1:4" x14ac:dyDescent="0.2">
      <c r="A37" s="12" t="s">
        <v>63</v>
      </c>
      <c r="B37" s="174" t="s">
        <v>236</v>
      </c>
      <c r="C37" s="174">
        <v>1876323</v>
      </c>
      <c r="D37" s="36">
        <v>0</v>
      </c>
    </row>
    <row r="38" spans="1:4" x14ac:dyDescent="0.2">
      <c r="A38" s="39" t="s">
        <v>8</v>
      </c>
      <c r="B38" s="149">
        <v>29321265</v>
      </c>
      <c r="C38" s="149">
        <v>26129999</v>
      </c>
      <c r="D38" s="125">
        <f>(B38-C38)/C38</f>
        <v>0.12213035293265798</v>
      </c>
    </row>
    <row r="39" spans="1:4" x14ac:dyDescent="0.2">
      <c r="A39" s="12" t="s">
        <v>64</v>
      </c>
      <c r="B39" s="174">
        <f>19913865+5907226+1495100+206694</f>
        <v>27522885</v>
      </c>
      <c r="C39" s="174">
        <v>25147251</v>
      </c>
      <c r="D39" s="36">
        <f>(B39-C39)/C39</f>
        <v>9.4468934198811638E-2</v>
      </c>
    </row>
    <row r="40" spans="1:4" x14ac:dyDescent="0.2">
      <c r="A40" t="s">
        <v>201</v>
      </c>
      <c r="B40" s="174">
        <v>0</v>
      </c>
      <c r="C40" s="174"/>
      <c r="D40" s="176">
        <v>0</v>
      </c>
    </row>
    <row r="41" spans="1:4" x14ac:dyDescent="0.2">
      <c r="A41" t="s">
        <v>202</v>
      </c>
      <c r="B41" s="174" t="s">
        <v>236</v>
      </c>
      <c r="C41" s="174"/>
      <c r="D41" s="176">
        <v>0</v>
      </c>
    </row>
    <row r="42" spans="1:4" x14ac:dyDescent="0.2">
      <c r="A42" t="s">
        <v>203</v>
      </c>
      <c r="B42" s="174">
        <v>0</v>
      </c>
      <c r="C42" s="174"/>
      <c r="D42" s="176">
        <v>0</v>
      </c>
    </row>
    <row r="43" spans="1:4" x14ac:dyDescent="0.2">
      <c r="A43" t="s">
        <v>204</v>
      </c>
      <c r="B43" s="174">
        <v>0</v>
      </c>
      <c r="C43" s="174"/>
      <c r="D43" s="176">
        <v>0</v>
      </c>
    </row>
    <row r="44" spans="1:4" ht="33.75" x14ac:dyDescent="0.2">
      <c r="A44" s="12" t="s">
        <v>205</v>
      </c>
      <c r="B44" s="174">
        <v>602976</v>
      </c>
      <c r="C44" s="174">
        <v>615304</v>
      </c>
      <c r="D44" s="36">
        <f>(B44-C44)/C44</f>
        <v>-2.0035624666831356E-2</v>
      </c>
    </row>
    <row r="45" spans="1:4" x14ac:dyDescent="0.2">
      <c r="A45" s="12" t="s">
        <v>206</v>
      </c>
      <c r="B45" s="174" t="s">
        <v>236</v>
      </c>
      <c r="C45" s="174"/>
      <c r="D45" s="176">
        <v>0</v>
      </c>
    </row>
    <row r="46" spans="1:4" x14ac:dyDescent="0.2">
      <c r="A46" s="12" t="s">
        <v>207</v>
      </c>
      <c r="B46" s="174" t="s">
        <v>236</v>
      </c>
      <c r="C46" s="174"/>
      <c r="D46" s="176">
        <v>0</v>
      </c>
    </row>
    <row r="47" spans="1:4" x14ac:dyDescent="0.2">
      <c r="A47" s="12" t="s">
        <v>208</v>
      </c>
      <c r="B47" s="174" t="s">
        <v>236</v>
      </c>
      <c r="C47" s="174"/>
      <c r="D47" s="176">
        <v>0</v>
      </c>
    </row>
    <row r="48" spans="1:4" x14ac:dyDescent="0.2">
      <c r="A48" s="12" t="s">
        <v>209</v>
      </c>
      <c r="B48" s="174">
        <v>1195404</v>
      </c>
      <c r="C48" s="174">
        <v>367444</v>
      </c>
      <c r="D48" s="36">
        <f>(B48-C48)/C48</f>
        <v>2.2532957403032845</v>
      </c>
    </row>
    <row r="49" spans="1:4" x14ac:dyDescent="0.2">
      <c r="A49" s="39" t="s">
        <v>71</v>
      </c>
      <c r="B49" s="150">
        <v>369076</v>
      </c>
      <c r="C49" s="150">
        <v>327739</v>
      </c>
      <c r="D49" s="125">
        <f>(B49-C49)/C49</f>
        <v>0.12612780291634501</v>
      </c>
    </row>
    <row r="50" spans="1:4" x14ac:dyDescent="0.2">
      <c r="A50" s="20" t="s">
        <v>72</v>
      </c>
      <c r="B50" s="174" t="s">
        <v>236</v>
      </c>
      <c r="C50" s="174">
        <v>0</v>
      </c>
      <c r="D50" s="176">
        <v>0</v>
      </c>
    </row>
    <row r="51" spans="1:4" x14ac:dyDescent="0.2">
      <c r="A51" s="20" t="s">
        <v>73</v>
      </c>
      <c r="B51" s="174">
        <v>369076</v>
      </c>
      <c r="C51" s="174">
        <v>327739</v>
      </c>
      <c r="D51" s="36">
        <f>(B51-C51)/C51</f>
        <v>0.12612780291634501</v>
      </c>
    </row>
    <row r="52" spans="1:4" x14ac:dyDescent="0.2">
      <c r="A52" s="39" t="s">
        <v>9</v>
      </c>
      <c r="B52" s="150">
        <v>161949913</v>
      </c>
      <c r="C52" s="150">
        <v>147741472.47135314</v>
      </c>
      <c r="D52" s="125">
        <f>(B52-C52)/C52</f>
        <v>9.6170968726481676E-2</v>
      </c>
    </row>
    <row r="53" spans="1:4" x14ac:dyDescent="0.2">
      <c r="A53" s="39" t="s">
        <v>74</v>
      </c>
      <c r="B53" s="150">
        <v>31542122</v>
      </c>
      <c r="C53" s="150">
        <v>33156316.109388679</v>
      </c>
      <c r="D53" s="125">
        <f>(B53-C53)/C53</f>
        <v>-4.8684362402118535E-2</v>
      </c>
    </row>
    <row r="54" spans="1:4" x14ac:dyDescent="0.2">
      <c r="A54" s="12" t="s">
        <v>75</v>
      </c>
      <c r="B54" s="233">
        <v>0</v>
      </c>
      <c r="C54" s="174">
        <v>0</v>
      </c>
      <c r="D54" s="176">
        <v>0</v>
      </c>
    </row>
    <row r="55" spans="1:4" x14ac:dyDescent="0.2">
      <c r="A55" s="20" t="s">
        <v>76</v>
      </c>
      <c r="B55" s="233" t="s">
        <v>236</v>
      </c>
      <c r="C55" s="174">
        <v>0</v>
      </c>
      <c r="D55" s="176">
        <v>0</v>
      </c>
    </row>
    <row r="56" spans="1:4" x14ac:dyDescent="0.2">
      <c r="A56" s="12" t="s">
        <v>77</v>
      </c>
      <c r="B56" s="233">
        <v>2892</v>
      </c>
      <c r="C56" s="174">
        <v>30895.949999999953</v>
      </c>
      <c r="D56" s="36">
        <f>(B56-C56)/C56</f>
        <v>-0.90639549843911571</v>
      </c>
    </row>
    <row r="57" spans="1:4" x14ac:dyDescent="0.2">
      <c r="A57" s="20" t="s">
        <v>76</v>
      </c>
      <c r="B57" s="233" t="s">
        <v>236</v>
      </c>
      <c r="C57" s="174">
        <v>342093</v>
      </c>
      <c r="D57" s="176">
        <v>0</v>
      </c>
    </row>
    <row r="58" spans="1:4" ht="22.5" x14ac:dyDescent="0.2">
      <c r="A58" s="12" t="s">
        <v>78</v>
      </c>
      <c r="B58" s="233" t="s">
        <v>236</v>
      </c>
      <c r="C58" s="174">
        <v>0</v>
      </c>
      <c r="D58" s="176">
        <v>0</v>
      </c>
    </row>
    <row r="59" spans="1:4" x14ac:dyDescent="0.2">
      <c r="A59" s="12" t="s">
        <v>79</v>
      </c>
      <c r="B59" s="233">
        <v>861983</v>
      </c>
      <c r="C59" s="174">
        <v>1683342</v>
      </c>
      <c r="D59" s="36">
        <f>(B59-C59)/C59</f>
        <v>-0.48793352747094765</v>
      </c>
    </row>
    <row r="60" spans="1:4" x14ac:dyDescent="0.2">
      <c r="A60" s="20" t="s">
        <v>80</v>
      </c>
      <c r="B60" s="233" t="s">
        <v>236</v>
      </c>
      <c r="C60" s="174">
        <v>0</v>
      </c>
      <c r="D60" s="176">
        <v>0</v>
      </c>
    </row>
    <row r="61" spans="1:4" x14ac:dyDescent="0.2">
      <c r="A61" s="39" t="s">
        <v>10</v>
      </c>
      <c r="B61" s="149">
        <v>864875</v>
      </c>
      <c r="C61" s="149">
        <v>1714237.95</v>
      </c>
      <c r="D61" s="125">
        <f>(B61-C61)/C61</f>
        <v>-0.49547552602017708</v>
      </c>
    </row>
    <row r="62" spans="1:4" ht="22.5" x14ac:dyDescent="0.2">
      <c r="A62" s="39" t="s">
        <v>81</v>
      </c>
      <c r="B62" s="150" t="s">
        <v>236</v>
      </c>
      <c r="C62" s="150">
        <v>0</v>
      </c>
      <c r="D62" s="40">
        <v>0</v>
      </c>
    </row>
    <row r="63" spans="1:4" x14ac:dyDescent="0.2">
      <c r="A63" s="20" t="s">
        <v>72</v>
      </c>
      <c r="B63" s="174" t="s">
        <v>236</v>
      </c>
      <c r="C63" s="174">
        <v>0</v>
      </c>
      <c r="D63" s="176">
        <v>0</v>
      </c>
    </row>
    <row r="64" spans="1:4" x14ac:dyDescent="0.2">
      <c r="A64" s="20" t="s">
        <v>73</v>
      </c>
      <c r="B64" s="174" t="s">
        <v>236</v>
      </c>
      <c r="C64" s="174">
        <v>0</v>
      </c>
      <c r="D64" s="176">
        <v>0</v>
      </c>
    </row>
    <row r="65" spans="1:4" x14ac:dyDescent="0.2">
      <c r="A65" s="12" t="s">
        <v>82</v>
      </c>
      <c r="B65" s="174">
        <v>5558430</v>
      </c>
      <c r="C65" s="174">
        <v>5027202.96</v>
      </c>
      <c r="D65" s="36">
        <f>(B65-C65)/C65</f>
        <v>0.10567049793430262</v>
      </c>
    </row>
    <row r="66" spans="1:4" x14ac:dyDescent="0.2">
      <c r="A66" s="20" t="s">
        <v>83</v>
      </c>
      <c r="B66" s="174" t="s">
        <v>236</v>
      </c>
      <c r="C66" s="174">
        <v>188264</v>
      </c>
      <c r="D66" s="176">
        <v>0</v>
      </c>
    </row>
    <row r="67" spans="1:4" x14ac:dyDescent="0.2">
      <c r="A67" s="12" t="s">
        <v>84</v>
      </c>
      <c r="B67" s="174">
        <v>998558</v>
      </c>
      <c r="C67" s="174">
        <v>3301822</v>
      </c>
      <c r="D67" s="36">
        <f t="shared" ref="D67:D73" si="1">(B67-C67)/C67</f>
        <v>-0.69757364267365107</v>
      </c>
    </row>
    <row r="68" spans="1:4" x14ac:dyDescent="0.2">
      <c r="A68" s="39" t="s">
        <v>85</v>
      </c>
      <c r="B68" s="150">
        <v>6556988</v>
      </c>
      <c r="C68" s="150">
        <v>8329024.96</v>
      </c>
      <c r="D68" s="125">
        <f t="shared" si="1"/>
        <v>-0.21275443026166654</v>
      </c>
    </row>
    <row r="69" spans="1:4" x14ac:dyDescent="0.2">
      <c r="A69" s="39" t="s">
        <v>86</v>
      </c>
      <c r="B69" s="150">
        <v>-5692113</v>
      </c>
      <c r="C69" s="150">
        <v>-6614787.0099999998</v>
      </c>
      <c r="D69" s="125">
        <f t="shared" si="1"/>
        <v>-0.13948657887323265</v>
      </c>
    </row>
    <row r="70" spans="1:4" x14ac:dyDescent="0.2">
      <c r="A70" s="39" t="s">
        <v>87</v>
      </c>
      <c r="B70" s="150">
        <v>194356910</v>
      </c>
      <c r="C70" s="150">
        <v>182612026.53074181</v>
      </c>
      <c r="D70" s="125">
        <f t="shared" si="1"/>
        <v>6.4316045839845043E-2</v>
      </c>
    </row>
    <row r="71" spans="1:4" x14ac:dyDescent="0.2">
      <c r="A71" s="39" t="s">
        <v>88</v>
      </c>
      <c r="B71" s="150">
        <v>168506901</v>
      </c>
      <c r="C71" s="150">
        <v>156070497.43135315</v>
      </c>
      <c r="D71" s="125">
        <f t="shared" si="1"/>
        <v>7.9684525732462277E-2</v>
      </c>
    </row>
    <row r="72" spans="1:4" x14ac:dyDescent="0.2">
      <c r="A72" s="39" t="s">
        <v>89</v>
      </c>
      <c r="B72" s="150">
        <v>25850009</v>
      </c>
      <c r="C72" s="150">
        <v>26541529.099388659</v>
      </c>
      <c r="D72" s="125">
        <f t="shared" si="1"/>
        <v>-2.6054267514096882E-2</v>
      </c>
    </row>
    <row r="73" spans="1:4" x14ac:dyDescent="0.2">
      <c r="A73" s="12" t="s">
        <v>90</v>
      </c>
      <c r="B73" s="174">
        <v>4772310</v>
      </c>
      <c r="C73" s="174">
        <v>3862138.5984</v>
      </c>
      <c r="D73" s="36">
        <f t="shared" si="1"/>
        <v>0.23566513174256984</v>
      </c>
    </row>
    <row r="74" spans="1:4" x14ac:dyDescent="0.2">
      <c r="A74" s="12" t="s">
        <v>91</v>
      </c>
      <c r="B74" s="174" t="s">
        <v>236</v>
      </c>
      <c r="C74" s="174">
        <v>0</v>
      </c>
      <c r="D74" s="176">
        <v>0</v>
      </c>
    </row>
    <row r="75" spans="1:4" x14ac:dyDescent="0.2">
      <c r="A75" s="12" t="s">
        <v>92</v>
      </c>
      <c r="B75" s="174" t="s">
        <v>236</v>
      </c>
      <c r="C75" s="174">
        <v>13819</v>
      </c>
      <c r="D75" s="176">
        <v>0</v>
      </c>
    </row>
    <row r="76" spans="1:4" ht="22.5" x14ac:dyDescent="0.2">
      <c r="A76" s="39" t="s">
        <v>93</v>
      </c>
      <c r="B76" s="150">
        <v>21077699</v>
      </c>
      <c r="C76" s="150">
        <v>22665571.500988659</v>
      </c>
      <c r="D76" s="125">
        <f>(B76-C76)/C76</f>
        <v>-7.0056583436221606E-2</v>
      </c>
    </row>
    <row r="77" spans="1:4" x14ac:dyDescent="0.2">
      <c r="A77" s="12" t="s">
        <v>94</v>
      </c>
      <c r="B77" s="233" t="s">
        <v>236</v>
      </c>
      <c r="C77" s="174">
        <v>326440</v>
      </c>
      <c r="D77" s="176">
        <v>0</v>
      </c>
    </row>
    <row r="78" spans="1:4" x14ac:dyDescent="0.2">
      <c r="A78" s="28" t="s">
        <v>95</v>
      </c>
      <c r="B78" s="149">
        <v>21077699</v>
      </c>
      <c r="C78" s="149">
        <v>22339131.500988659</v>
      </c>
      <c r="D78" s="125">
        <f>(B78-C78)/C78</f>
        <v>-5.64673922499105E-2</v>
      </c>
    </row>
    <row r="79" spans="1:4" hidden="1" outlineLevel="1" x14ac:dyDescent="0.2">
      <c r="A79" s="12">
        <v>0</v>
      </c>
      <c r="B79">
        <v>7889460.2921795174</v>
      </c>
      <c r="C79">
        <v>8407975.0021157637</v>
      </c>
    </row>
    <row r="80" spans="1:4" hidden="1" outlineLevel="1" x14ac:dyDescent="0.2">
      <c r="A80" s="21" t="s">
        <v>96</v>
      </c>
      <c r="B80" s="45">
        <v>7889460.2921795174</v>
      </c>
      <c r="C80" s="45"/>
    </row>
    <row r="81" spans="1:3" hidden="1" outlineLevel="1" x14ac:dyDescent="0.2">
      <c r="A81" s="14" t="s">
        <v>97</v>
      </c>
      <c r="B81" s="9">
        <f>B76-B80</f>
        <v>13188238.707820483</v>
      </c>
      <c r="C81" s="9"/>
    </row>
    <row r="82" spans="1:3" hidden="1" outlineLevel="1" x14ac:dyDescent="0.2">
      <c r="A82" s="12">
        <v>0</v>
      </c>
    </row>
    <row r="83" spans="1:3" hidden="1" outlineLevel="1" x14ac:dyDescent="0.2">
      <c r="A83" s="14" t="s">
        <v>98</v>
      </c>
      <c r="B83" s="9" t="e">
        <f>#REF!</f>
        <v>#REF!</v>
      </c>
      <c r="C83" s="9"/>
    </row>
    <row r="84" spans="1:3" hidden="1" outlineLevel="1" x14ac:dyDescent="0.2">
      <c r="A84" s="14" t="s">
        <v>97</v>
      </c>
      <c r="B84" s="4" t="e">
        <f t="shared" ref="B84" si="2">B78-B83</f>
        <v>#REF!</v>
      </c>
      <c r="C84" s="4"/>
    </row>
    <row r="85" spans="1:3" collapsed="1" x14ac:dyDescent="0.2"/>
    <row r="87" spans="1:3" x14ac:dyDescent="0.2">
      <c r="A87" s="14"/>
    </row>
    <row r="88" spans="1:3" x14ac:dyDescent="0.2">
      <c r="A88" s="16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AFC-9AC5-4A99-86E0-78D4CD95966F}">
  <sheetPr>
    <tabColor rgb="FFFFC000"/>
    <pageSetUpPr fitToPage="1"/>
  </sheetPr>
  <dimension ref="A1:D24"/>
  <sheetViews>
    <sheetView showGridLines="0" zoomScale="120" zoomScaleNormal="120" workbookViewId="0">
      <selection activeCell="A16" sqref="A16"/>
    </sheetView>
  </sheetViews>
  <sheetFormatPr defaultRowHeight="11.25" outlineLevelRow="1" x14ac:dyDescent="0.2"/>
  <cols>
    <col min="1" max="1" width="49.33203125" style="12" customWidth="1"/>
    <col min="2" max="2" width="17.6640625" customWidth="1"/>
    <col min="3" max="3" width="18" customWidth="1"/>
    <col min="4" max="4" width="12.1640625" style="7" bestFit="1" customWidth="1"/>
  </cols>
  <sheetData>
    <row r="1" spans="1:4" ht="15" x14ac:dyDescent="0.2">
      <c r="A1" s="254" t="s">
        <v>99</v>
      </c>
      <c r="B1" s="254"/>
      <c r="C1" s="254"/>
      <c r="D1" s="254"/>
    </row>
    <row r="2" spans="1:4" ht="15" x14ac:dyDescent="0.2">
      <c r="A2" s="254" t="s">
        <v>107</v>
      </c>
      <c r="B2" s="254"/>
      <c r="C2" s="254"/>
      <c r="D2" s="254"/>
    </row>
    <row r="3" spans="1:4" ht="15" x14ac:dyDescent="0.2">
      <c r="A3" s="254" t="s">
        <v>218</v>
      </c>
      <c r="B3" s="254"/>
      <c r="C3" s="254"/>
      <c r="D3" s="254"/>
    </row>
    <row r="4" spans="1:4" ht="15" x14ac:dyDescent="0.2">
      <c r="A4" s="254" t="s">
        <v>101</v>
      </c>
      <c r="B4" s="254"/>
      <c r="C4" s="254"/>
      <c r="D4" s="254"/>
    </row>
    <row r="5" spans="1:4" x14ac:dyDescent="0.2">
      <c r="A5" s="10"/>
      <c r="B5" s="25"/>
      <c r="C5" s="25"/>
    </row>
    <row r="6" spans="1:4" s="75" customFormat="1" ht="13.5" customHeight="1" x14ac:dyDescent="0.2">
      <c r="A6" s="163" t="s">
        <v>131</v>
      </c>
      <c r="B6" s="23" t="s">
        <v>220</v>
      </c>
      <c r="C6" s="23" t="s">
        <v>221</v>
      </c>
      <c r="D6" s="78" t="s">
        <v>134</v>
      </c>
    </row>
    <row r="7" spans="1:4" ht="15" x14ac:dyDescent="0.2">
      <c r="A7" s="76" t="s">
        <v>4</v>
      </c>
      <c r="B7" s="77">
        <f>'Income Statement'!B22</f>
        <v>193492036</v>
      </c>
      <c r="C7" s="77">
        <f>'Income Statement'!C22</f>
        <v>180897789</v>
      </c>
      <c r="D7" s="164">
        <f t="shared" ref="D7:D13" si="0">(B7-C7)/C7</f>
        <v>6.9620790113692321E-2</v>
      </c>
    </row>
    <row r="8" spans="1:4" ht="15" x14ac:dyDescent="0.2">
      <c r="A8" s="76" t="s">
        <v>9</v>
      </c>
      <c r="B8" s="77">
        <f>'Income Statement'!B52</f>
        <v>161949913</v>
      </c>
      <c r="C8" s="77">
        <f>'Income Statement'!C52</f>
        <v>147741472.47135314</v>
      </c>
      <c r="D8" s="164">
        <f t="shared" si="0"/>
        <v>9.6170968726481676E-2</v>
      </c>
    </row>
    <row r="9" spans="1:4" ht="15" x14ac:dyDescent="0.2">
      <c r="A9" s="191" t="s">
        <v>74</v>
      </c>
      <c r="B9" s="192">
        <f>'Income Statement'!B53</f>
        <v>31542122</v>
      </c>
      <c r="C9" s="192">
        <f>'Income Statement'!C53</f>
        <v>33156316.109388679</v>
      </c>
      <c r="D9" s="79">
        <f t="shared" si="0"/>
        <v>-4.8684362402118535E-2</v>
      </c>
    </row>
    <row r="10" spans="1:4" ht="15" x14ac:dyDescent="0.2">
      <c r="A10" s="76" t="s">
        <v>10</v>
      </c>
      <c r="B10" s="77">
        <f>'Income Statement'!B61</f>
        <v>864875</v>
      </c>
      <c r="C10" s="77">
        <f>'Income Statement'!C61</f>
        <v>1714237.95</v>
      </c>
      <c r="D10" s="164">
        <f t="shared" si="0"/>
        <v>-0.49547552602017708</v>
      </c>
    </row>
    <row r="11" spans="1:4" ht="15" x14ac:dyDescent="0.2">
      <c r="A11" s="76" t="s">
        <v>85</v>
      </c>
      <c r="B11" s="77">
        <f>'Income Statement'!B68</f>
        <v>6556988</v>
      </c>
      <c r="C11" s="77">
        <f>'Income Statement'!C68</f>
        <v>8329024.96</v>
      </c>
      <c r="D11" s="164">
        <f t="shared" si="0"/>
        <v>-0.21275443026166654</v>
      </c>
    </row>
    <row r="12" spans="1:4" ht="15" x14ac:dyDescent="0.2">
      <c r="A12" s="191" t="s">
        <v>86</v>
      </c>
      <c r="B12" s="192">
        <f>'Income Statement'!B69</f>
        <v>-5692113</v>
      </c>
      <c r="C12" s="192">
        <f>'Income Statement'!C69</f>
        <v>-6614787.0099999998</v>
      </c>
      <c r="D12" s="79">
        <f t="shared" si="0"/>
        <v>-0.13948657887323265</v>
      </c>
    </row>
    <row r="13" spans="1:4" ht="15" x14ac:dyDescent="0.2">
      <c r="A13" s="76" t="s">
        <v>132</v>
      </c>
      <c r="B13" s="77">
        <f>'Income Statement'!B72</f>
        <v>25850009</v>
      </c>
      <c r="C13" s="77">
        <f>'Income Statement'!C72</f>
        <v>26541529.099388659</v>
      </c>
      <c r="D13" s="164">
        <f t="shared" si="0"/>
        <v>-2.6054267514096882E-2</v>
      </c>
    </row>
    <row r="14" spans="1:4" ht="30" x14ac:dyDescent="0.2">
      <c r="A14" s="191" t="s">
        <v>133</v>
      </c>
      <c r="B14" s="192">
        <f>'Income Statement'!B78</f>
        <v>21077699</v>
      </c>
      <c r="C14" s="192">
        <f>'Income Statement'!C78</f>
        <v>22339131.500988659</v>
      </c>
      <c r="D14" s="79">
        <f t="shared" ref="D14" si="1">(B14-C14)/C14</f>
        <v>-5.64673922499105E-2</v>
      </c>
    </row>
    <row r="15" spans="1:4" hidden="1" outlineLevel="1" x14ac:dyDescent="0.2">
      <c r="A15" s="12">
        <v>0</v>
      </c>
    </row>
    <row r="16" spans="1:4" hidden="1" outlineLevel="1" x14ac:dyDescent="0.2">
      <c r="A16" s="21" t="s">
        <v>96</v>
      </c>
      <c r="B16" s="45" t="e">
        <f>SUM(#REF!)</f>
        <v>#REF!</v>
      </c>
      <c r="C16" s="45"/>
    </row>
    <row r="17" spans="1:3" hidden="1" outlineLevel="1" x14ac:dyDescent="0.2">
      <c r="A17" s="14" t="s">
        <v>97</v>
      </c>
      <c r="B17" s="9" t="e">
        <f>#REF!-B16</f>
        <v>#REF!</v>
      </c>
      <c r="C17" s="9"/>
    </row>
    <row r="18" spans="1:3" hidden="1" outlineLevel="1" x14ac:dyDescent="0.2">
      <c r="A18" s="12">
        <v>0</v>
      </c>
    </row>
    <row r="19" spans="1:3" hidden="1" outlineLevel="1" x14ac:dyDescent="0.2">
      <c r="A19" s="14" t="s">
        <v>98</v>
      </c>
      <c r="B19" s="9" t="e">
        <f>#REF!</f>
        <v>#REF!</v>
      </c>
      <c r="C19" s="9"/>
    </row>
    <row r="20" spans="1:3" s="7" customFormat="1" hidden="1" outlineLevel="1" x14ac:dyDescent="0.2">
      <c r="A20" s="14" t="s">
        <v>97</v>
      </c>
      <c r="B20" s="4" t="e">
        <f t="shared" ref="B20" si="2">B14-B19</f>
        <v>#REF!</v>
      </c>
      <c r="C20" s="4"/>
    </row>
    <row r="21" spans="1:3" s="7" customFormat="1" collapsed="1" x14ac:dyDescent="0.2">
      <c r="A21" s="12"/>
      <c r="B21"/>
      <c r="C21"/>
    </row>
    <row r="23" spans="1:3" s="7" customFormat="1" x14ac:dyDescent="0.2">
      <c r="A23" s="14"/>
      <c r="B23"/>
      <c r="C23"/>
    </row>
    <row r="24" spans="1:3" s="7" customFormat="1" x14ac:dyDescent="0.2">
      <c r="A24" s="16"/>
      <c r="B24"/>
      <c r="C24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014B-4C47-4EA8-9F95-B9D03E94E4AF}">
  <sheetPr>
    <tabColor rgb="FFFFC000"/>
    <pageSetUpPr fitToPage="1"/>
  </sheetPr>
  <dimension ref="A1:D85"/>
  <sheetViews>
    <sheetView showGridLines="0" topLeftCell="A4" zoomScale="120" zoomScaleNormal="120" workbookViewId="0">
      <selection activeCell="A16" sqref="A16"/>
    </sheetView>
  </sheetViews>
  <sheetFormatPr defaultRowHeight="11.25" outlineLevelRow="1" x14ac:dyDescent="0.2"/>
  <cols>
    <col min="1" max="1" width="54.1640625" style="12" customWidth="1"/>
    <col min="2" max="2" width="18.83203125" customWidth="1"/>
    <col min="3" max="3" width="20.5" customWidth="1"/>
    <col min="4" max="4" width="10" style="7" customWidth="1"/>
    <col min="6" max="6" width="12.1640625" bestFit="1" customWidth="1"/>
  </cols>
  <sheetData>
    <row r="1" spans="1:4" ht="15" x14ac:dyDescent="0.2">
      <c r="A1" s="254" t="s">
        <v>99</v>
      </c>
      <c r="B1" s="254"/>
      <c r="C1" s="254"/>
      <c r="D1" s="254"/>
    </row>
    <row r="2" spans="1:4" ht="15" x14ac:dyDescent="0.2">
      <c r="A2" s="254" t="s">
        <v>107</v>
      </c>
      <c r="B2" s="254"/>
      <c r="C2" s="254"/>
      <c r="D2" s="254"/>
    </row>
    <row r="3" spans="1:4" ht="15" x14ac:dyDescent="0.2">
      <c r="A3" s="254" t="s">
        <v>218</v>
      </c>
      <c r="B3" s="254"/>
      <c r="C3" s="254"/>
      <c r="D3" s="254"/>
    </row>
    <row r="4" spans="1:4" ht="15" x14ac:dyDescent="0.2">
      <c r="A4" s="254" t="s">
        <v>101</v>
      </c>
      <c r="B4" s="254"/>
      <c r="C4" s="254"/>
      <c r="D4" s="254"/>
    </row>
    <row r="5" spans="1:4" x14ac:dyDescent="0.2">
      <c r="A5" s="10"/>
      <c r="B5" s="25"/>
      <c r="C5" s="25"/>
    </row>
    <row r="6" spans="1:4" ht="16.5" customHeight="1" x14ac:dyDescent="0.2">
      <c r="A6" s="17"/>
      <c r="B6" s="23" t="s">
        <v>220</v>
      </c>
      <c r="C6" s="23" t="s">
        <v>221</v>
      </c>
      <c r="D6" s="24" t="s">
        <v>102</v>
      </c>
    </row>
    <row r="7" spans="1:4" x14ac:dyDescent="0.2">
      <c r="A7" s="18"/>
      <c r="B7" s="44"/>
      <c r="C7" s="44"/>
    </row>
    <row r="8" spans="1:4" x14ac:dyDescent="0.2">
      <c r="A8" s="165" t="s">
        <v>3</v>
      </c>
      <c r="B8" s="166">
        <f>'Income Statement'!B8</f>
        <v>126792531</v>
      </c>
      <c r="C8" s="166">
        <f>'Income Statement'!C8</f>
        <v>115983423</v>
      </c>
      <c r="D8" s="36">
        <f>(B8-C8)/C8</f>
        <v>9.3195283605313151E-2</v>
      </c>
    </row>
    <row r="9" spans="1:4" hidden="1" x14ac:dyDescent="0.2">
      <c r="A9" s="12" t="s">
        <v>40</v>
      </c>
      <c r="B9" s="147">
        <v>115397098.67999999</v>
      </c>
      <c r="C9" s="147">
        <v>101259031.34</v>
      </c>
      <c r="D9" s="34">
        <f t="shared" ref="D9:D72" si="0">(B9-C9)/C9</f>
        <v>0.13962277885641869</v>
      </c>
    </row>
    <row r="10" spans="1:4" hidden="1" x14ac:dyDescent="0.2">
      <c r="A10" s="12" t="s">
        <v>41</v>
      </c>
      <c r="B10" s="160">
        <v>693010.63000000082</v>
      </c>
      <c r="C10" s="160">
        <v>1993641.2000000002</v>
      </c>
      <c r="D10" s="34">
        <f t="shared" si="0"/>
        <v>-0.65238949215134556</v>
      </c>
    </row>
    <row r="11" spans="1:4" hidden="1" x14ac:dyDescent="0.2">
      <c r="A11" s="12" t="s">
        <v>42</v>
      </c>
      <c r="B11" s="147">
        <v>-106686</v>
      </c>
      <c r="C11" s="147">
        <v>-25212</v>
      </c>
      <c r="D11" s="124" t="s">
        <v>115</v>
      </c>
    </row>
    <row r="12" spans="1:4" ht="22.5" hidden="1" x14ac:dyDescent="0.2">
      <c r="A12" s="12" t="s">
        <v>43</v>
      </c>
      <c r="B12" s="147">
        <v>0</v>
      </c>
      <c r="C12" s="147">
        <v>0</v>
      </c>
      <c r="D12" s="6">
        <v>0</v>
      </c>
    </row>
    <row r="13" spans="1:4" hidden="1" x14ac:dyDescent="0.2">
      <c r="A13" s="12" t="s">
        <v>153</v>
      </c>
      <c r="B13" s="147">
        <v>0</v>
      </c>
      <c r="C13" s="147">
        <v>0</v>
      </c>
      <c r="D13" s="6">
        <v>0</v>
      </c>
    </row>
    <row r="14" spans="1:4" hidden="1" x14ac:dyDescent="0.2">
      <c r="A14" s="12" t="s">
        <v>44</v>
      </c>
      <c r="B14" s="147">
        <v>39173529.740741827</v>
      </c>
      <c r="C14" s="147">
        <v>31225246.462547131</v>
      </c>
      <c r="D14" s="34">
        <f t="shared" si="0"/>
        <v>0.25454669469873359</v>
      </c>
    </row>
    <row r="15" spans="1:4" hidden="1" x14ac:dyDescent="0.2">
      <c r="A15" s="12" t="s">
        <v>45</v>
      </c>
      <c r="B15" s="147">
        <v>0</v>
      </c>
      <c r="C15" s="147">
        <v>0</v>
      </c>
      <c r="D15" s="6">
        <v>0</v>
      </c>
    </row>
    <row r="16" spans="1:4" hidden="1" x14ac:dyDescent="0.2">
      <c r="A16" s="12" t="s">
        <v>46</v>
      </c>
      <c r="B16" s="147">
        <v>5933177.5300000003</v>
      </c>
      <c r="C16" s="147">
        <v>5114300.7749198461</v>
      </c>
      <c r="D16" s="34">
        <f t="shared" si="0"/>
        <v>0.16011509512617353</v>
      </c>
    </row>
    <row r="17" spans="1:4" hidden="1" x14ac:dyDescent="0.2">
      <c r="A17" s="12" t="s">
        <v>47</v>
      </c>
      <c r="B17" s="147">
        <v>0</v>
      </c>
      <c r="C17" s="147">
        <v>0</v>
      </c>
      <c r="D17" s="6">
        <v>0</v>
      </c>
    </row>
    <row r="18" spans="1:4" hidden="1" x14ac:dyDescent="0.2">
      <c r="A18" s="12" t="s">
        <v>48</v>
      </c>
      <c r="B18" s="147">
        <v>0</v>
      </c>
      <c r="C18" s="147">
        <v>0</v>
      </c>
      <c r="D18" s="6">
        <v>0</v>
      </c>
    </row>
    <row r="19" spans="1:4" hidden="1" x14ac:dyDescent="0.2">
      <c r="A19" s="12" t="s">
        <v>49</v>
      </c>
      <c r="B19" s="147">
        <v>18480826</v>
      </c>
      <c r="C19" s="147">
        <v>8556565</v>
      </c>
      <c r="D19" s="34">
        <f t="shared" si="0"/>
        <v>1.1598417121824003</v>
      </c>
    </row>
    <row r="20" spans="1:4" hidden="1" x14ac:dyDescent="0.2">
      <c r="A20" s="12" t="s">
        <v>50</v>
      </c>
      <c r="B20" s="147">
        <v>1326832</v>
      </c>
      <c r="C20" s="147">
        <v>690757.59000000008</v>
      </c>
      <c r="D20" s="34">
        <f t="shared" si="0"/>
        <v>0.92083593319618806</v>
      </c>
    </row>
    <row r="21" spans="1:4" hidden="1" x14ac:dyDescent="0.2">
      <c r="A21" s="19" t="s">
        <v>51</v>
      </c>
      <c r="B21" s="147">
        <v>66012</v>
      </c>
      <c r="C21" s="147">
        <v>66012</v>
      </c>
      <c r="D21" s="34">
        <f t="shared" si="0"/>
        <v>0</v>
      </c>
    </row>
    <row r="22" spans="1:4" hidden="1" x14ac:dyDescent="0.2">
      <c r="A22" s="19" t="s">
        <v>52</v>
      </c>
      <c r="B22" s="147">
        <v>0</v>
      </c>
      <c r="C22" s="147">
        <v>0</v>
      </c>
      <c r="D22" s="6">
        <v>0</v>
      </c>
    </row>
    <row r="23" spans="1:4" x14ac:dyDescent="0.2">
      <c r="A23" s="39" t="s">
        <v>4</v>
      </c>
      <c r="B23" s="173">
        <f>'Income Statement'!B22</f>
        <v>193492036</v>
      </c>
      <c r="C23" s="173">
        <f>'Income Statement'!C22</f>
        <v>180897789</v>
      </c>
      <c r="D23" s="35">
        <f t="shared" si="0"/>
        <v>6.9620790113692321E-2</v>
      </c>
    </row>
    <row r="24" spans="1:4" hidden="1" x14ac:dyDescent="0.2">
      <c r="A24" s="12" t="s">
        <v>53</v>
      </c>
      <c r="B24" s="147">
        <v>85087079.115100667</v>
      </c>
      <c r="C24" s="147">
        <v>69887292.24254714</v>
      </c>
      <c r="D24" s="34">
        <f t="shared" si="0"/>
        <v>0.21748999546014677</v>
      </c>
    </row>
    <row r="25" spans="1:4" hidden="1" x14ac:dyDescent="0.2">
      <c r="A25" s="12" t="s">
        <v>54</v>
      </c>
      <c r="B25" s="160">
        <v>1595470.88</v>
      </c>
      <c r="C25" s="160">
        <v>1311023.01</v>
      </c>
      <c r="D25" s="34">
        <f t="shared" si="0"/>
        <v>0.21696634447323687</v>
      </c>
    </row>
    <row r="26" spans="1:4" hidden="1" x14ac:dyDescent="0.2">
      <c r="A26" s="12" t="s">
        <v>55</v>
      </c>
      <c r="B26" s="160">
        <v>2746094</v>
      </c>
      <c r="C26" s="160">
        <v>2042199</v>
      </c>
      <c r="D26" s="34">
        <f t="shared" si="0"/>
        <v>0.3446750292209525</v>
      </c>
    </row>
    <row r="27" spans="1:4" hidden="1" x14ac:dyDescent="0.2">
      <c r="A27" s="12" t="s">
        <v>56</v>
      </c>
      <c r="B27" s="160">
        <v>526216.37452371605</v>
      </c>
      <c r="C27" s="160">
        <v>4169965.2603703705</v>
      </c>
      <c r="D27" s="34">
        <f t="shared" si="0"/>
        <v>-0.87380797160958168</v>
      </c>
    </row>
    <row r="28" spans="1:4" hidden="1" x14ac:dyDescent="0.2">
      <c r="A28" s="12" t="s">
        <v>57</v>
      </c>
      <c r="B28" s="147">
        <v>-88693.450000000012</v>
      </c>
      <c r="C28" s="147">
        <v>-56144</v>
      </c>
      <c r="D28" s="34">
        <f t="shared" si="0"/>
        <v>0.57974939441436324</v>
      </c>
    </row>
    <row r="29" spans="1:4" x14ac:dyDescent="0.2">
      <c r="A29" s="165" t="s">
        <v>196</v>
      </c>
      <c r="B29" s="166">
        <f>'Income Statement'!B28</f>
        <v>20114215</v>
      </c>
      <c r="C29" s="166">
        <f>'Income Statement'!C28</f>
        <v>18306270</v>
      </c>
      <c r="D29" s="34">
        <f t="shared" si="0"/>
        <v>9.8760970967870565E-2</v>
      </c>
    </row>
    <row r="30" spans="1:4" hidden="1" x14ac:dyDescent="0.2">
      <c r="A30" s="12" t="s">
        <v>58</v>
      </c>
      <c r="B30" s="147">
        <v>17896402</v>
      </c>
      <c r="C30" s="147">
        <v>14966793</v>
      </c>
      <c r="D30" s="34">
        <f t="shared" si="0"/>
        <v>0.19574059720074968</v>
      </c>
    </row>
    <row r="31" spans="1:4" hidden="1" x14ac:dyDescent="0.2">
      <c r="A31" s="12" t="s">
        <v>59</v>
      </c>
      <c r="B31" s="147">
        <v>409868</v>
      </c>
      <c r="C31" s="147">
        <v>363563</v>
      </c>
      <c r="D31" s="34">
        <f t="shared" si="0"/>
        <v>0.12736444577693551</v>
      </c>
    </row>
    <row r="32" spans="1:4" ht="22.5" x14ac:dyDescent="0.2">
      <c r="A32" s="165" t="s">
        <v>195</v>
      </c>
      <c r="B32" s="166">
        <f>'Income Statement'!B31</f>
        <v>18611728</v>
      </c>
      <c r="C32" s="166">
        <f>'Income Statement'!C31</f>
        <v>15465423.651728775</v>
      </c>
      <c r="D32" s="34">
        <f t="shared" si="0"/>
        <v>0.20344120013288614</v>
      </c>
    </row>
    <row r="33" spans="1:4" hidden="1" x14ac:dyDescent="0.2">
      <c r="A33" s="12" t="s">
        <v>60</v>
      </c>
      <c r="B33" s="147">
        <v>15466142.651728775</v>
      </c>
      <c r="C33" s="147">
        <v>14501117.558030924</v>
      </c>
      <c r="D33" s="34">
        <f t="shared" si="0"/>
        <v>6.6548325660832047E-2</v>
      </c>
    </row>
    <row r="34" spans="1:4" hidden="1" x14ac:dyDescent="0.2">
      <c r="A34" s="12" t="s">
        <v>61</v>
      </c>
      <c r="B34" s="147">
        <v>-719</v>
      </c>
      <c r="C34" s="147">
        <v>-479</v>
      </c>
      <c r="D34" s="6">
        <v>0</v>
      </c>
    </row>
    <row r="35" spans="1:4" x14ac:dyDescent="0.2">
      <c r="A35" s="165" t="s">
        <v>7</v>
      </c>
      <c r="B35" s="166">
        <f>'Income Statement'!B35</f>
        <v>-135452</v>
      </c>
      <c r="C35" s="166">
        <f>'Income Statement'!C35</f>
        <v>1698648</v>
      </c>
      <c r="D35" s="34">
        <f t="shared" si="0"/>
        <v>-1.0797410646584813</v>
      </c>
    </row>
    <row r="36" spans="1:4" hidden="1" x14ac:dyDescent="0.2">
      <c r="A36" s="12" t="s">
        <v>62</v>
      </c>
      <c r="B36" s="147">
        <v>177675</v>
      </c>
      <c r="C36" s="147">
        <v>17821</v>
      </c>
      <c r="D36" s="34">
        <f t="shared" si="0"/>
        <v>8.9699792379776664</v>
      </c>
    </row>
    <row r="37" spans="1:4" hidden="1" x14ac:dyDescent="0.2">
      <c r="A37" s="12" t="s">
        <v>63</v>
      </c>
      <c r="B37" s="147">
        <v>1876323</v>
      </c>
      <c r="C37" s="147">
        <v>776614</v>
      </c>
      <c r="D37" s="34">
        <f t="shared" si="0"/>
        <v>1.416030357423379</v>
      </c>
    </row>
    <row r="38" spans="1:4" x14ac:dyDescent="0.2">
      <c r="A38" s="165" t="s">
        <v>194</v>
      </c>
      <c r="B38" s="166">
        <f>'Income Statement'!B38</f>
        <v>29321265</v>
      </c>
      <c r="C38" s="166">
        <f>'Income Statement'!C38</f>
        <v>26129999</v>
      </c>
      <c r="D38" s="34">
        <f t="shared" si="0"/>
        <v>0.12213035293265798</v>
      </c>
    </row>
    <row r="39" spans="1:4" hidden="1" x14ac:dyDescent="0.2">
      <c r="A39" s="12" t="s">
        <v>64</v>
      </c>
      <c r="B39" s="147">
        <v>25147251.249999996</v>
      </c>
      <c r="C39" s="147">
        <v>22392377.289999995</v>
      </c>
      <c r="D39" s="34">
        <f t="shared" si="0"/>
        <v>0.12302731078179334</v>
      </c>
    </row>
    <row r="40" spans="1:4" ht="33.75" hidden="1" x14ac:dyDescent="0.2">
      <c r="A40" s="12" t="s">
        <v>65</v>
      </c>
      <c r="B40" s="147">
        <v>615304</v>
      </c>
      <c r="C40" s="147">
        <v>397293</v>
      </c>
      <c r="D40" s="34">
        <f t="shared" si="0"/>
        <v>0.54874110543100429</v>
      </c>
    </row>
    <row r="41" spans="1:4" hidden="1" x14ac:dyDescent="0.2">
      <c r="A41" s="12" t="s">
        <v>66</v>
      </c>
      <c r="B41" s="147">
        <v>0</v>
      </c>
      <c r="C41" s="147">
        <v>0</v>
      </c>
      <c r="D41" s="6">
        <v>0</v>
      </c>
    </row>
    <row r="42" spans="1:4" hidden="1" x14ac:dyDescent="0.2">
      <c r="A42" s="12" t="s">
        <v>67</v>
      </c>
      <c r="B42" s="147">
        <v>0</v>
      </c>
      <c r="C42" s="147">
        <v>0</v>
      </c>
      <c r="D42" s="6">
        <v>0</v>
      </c>
    </row>
    <row r="43" spans="1:4" hidden="1" x14ac:dyDescent="0.2">
      <c r="A43" s="12" t="s">
        <v>68</v>
      </c>
      <c r="B43" s="147">
        <v>0</v>
      </c>
      <c r="C43" s="147">
        <v>0</v>
      </c>
      <c r="D43" s="6">
        <v>0</v>
      </c>
    </row>
    <row r="44" spans="1:4" hidden="1" x14ac:dyDescent="0.2">
      <c r="A44" s="12" t="s">
        <v>69</v>
      </c>
      <c r="B44" s="147">
        <v>367443.65</v>
      </c>
      <c r="C44" s="147">
        <v>1438952.3840253276</v>
      </c>
      <c r="D44" s="34">
        <f t="shared" si="0"/>
        <v>-0.74464502503403707</v>
      </c>
    </row>
    <row r="45" spans="1:4" ht="33.75" hidden="1" x14ac:dyDescent="0.2">
      <c r="A45" s="12" t="s">
        <v>70</v>
      </c>
      <c r="B45" s="147">
        <v>0</v>
      </c>
      <c r="C45" s="147">
        <v>0</v>
      </c>
      <c r="D45" s="6">
        <v>0</v>
      </c>
    </row>
    <row r="46" spans="1:4" x14ac:dyDescent="0.2">
      <c r="A46" s="165" t="s">
        <v>71</v>
      </c>
      <c r="B46" s="166">
        <f>'Income Statement'!B49</f>
        <v>369076</v>
      </c>
      <c r="C46" s="166">
        <f>'Income Statement'!C49</f>
        <v>327739</v>
      </c>
      <c r="D46" s="34">
        <f t="shared" si="0"/>
        <v>0.12612780291634501</v>
      </c>
    </row>
    <row r="47" spans="1:4" hidden="1" x14ac:dyDescent="0.2">
      <c r="A47" s="20" t="s">
        <v>72</v>
      </c>
      <c r="B47" s="147">
        <v>0</v>
      </c>
      <c r="C47" s="147">
        <v>0</v>
      </c>
      <c r="D47" s="123" t="s">
        <v>115</v>
      </c>
    </row>
    <row r="48" spans="1:4" hidden="1" x14ac:dyDescent="0.2">
      <c r="A48" s="20" t="s">
        <v>73</v>
      </c>
      <c r="B48" s="147">
        <v>327739</v>
      </c>
      <c r="C48" s="147">
        <v>328975</v>
      </c>
      <c r="D48" s="34">
        <f t="shared" si="0"/>
        <v>-3.7571244015502697E-3</v>
      </c>
    </row>
    <row r="49" spans="1:4" x14ac:dyDescent="0.2">
      <c r="A49" s="39" t="s">
        <v>9</v>
      </c>
      <c r="B49" s="173">
        <f>'Income Statement'!B52</f>
        <v>161949913</v>
      </c>
      <c r="C49" s="173">
        <f>'Income Statement'!C52</f>
        <v>147741472.47135314</v>
      </c>
      <c r="D49" s="35">
        <f t="shared" si="0"/>
        <v>9.6170968726481676E-2</v>
      </c>
    </row>
    <row r="50" spans="1:4" x14ac:dyDescent="0.2">
      <c r="A50" s="39" t="s">
        <v>74</v>
      </c>
      <c r="B50" s="173">
        <f>'Income Statement'!B53</f>
        <v>31542122</v>
      </c>
      <c r="C50" s="173">
        <f>'Income Statement'!C53</f>
        <v>33156316.109388679</v>
      </c>
      <c r="D50" s="35">
        <f t="shared" si="0"/>
        <v>-4.8684362402118535E-2</v>
      </c>
    </row>
    <row r="51" spans="1:4" hidden="1" x14ac:dyDescent="0.2">
      <c r="A51" s="12" t="s">
        <v>75</v>
      </c>
      <c r="B51" s="147">
        <v>0</v>
      </c>
      <c r="C51" s="147">
        <v>0</v>
      </c>
      <c r="D51" s="6">
        <v>0</v>
      </c>
    </row>
    <row r="52" spans="1:4" hidden="1" x14ac:dyDescent="0.2">
      <c r="A52" s="20" t="s">
        <v>76</v>
      </c>
      <c r="B52" s="147">
        <v>0</v>
      </c>
      <c r="C52" s="147">
        <v>0</v>
      </c>
      <c r="D52" s="6">
        <v>0</v>
      </c>
    </row>
    <row r="53" spans="1:4" hidden="1" x14ac:dyDescent="0.2">
      <c r="A53" s="12" t="s">
        <v>77</v>
      </c>
      <c r="B53" s="147">
        <v>30895.949999999953</v>
      </c>
      <c r="C53" s="147">
        <v>56293.280000000028</v>
      </c>
      <c r="D53" s="34">
        <f t="shared" si="0"/>
        <v>-0.45116095562383401</v>
      </c>
    </row>
    <row r="54" spans="1:4" hidden="1" x14ac:dyDescent="0.2">
      <c r="A54" s="20" t="s">
        <v>76</v>
      </c>
      <c r="B54" s="147">
        <v>342093</v>
      </c>
      <c r="C54" s="147">
        <v>171917</v>
      </c>
      <c r="D54" s="34">
        <f t="shared" si="0"/>
        <v>0.98987302012017431</v>
      </c>
    </row>
    <row r="55" spans="1:4" ht="22.5" hidden="1" x14ac:dyDescent="0.2">
      <c r="A55" s="12" t="s">
        <v>78</v>
      </c>
      <c r="B55" s="147">
        <v>0</v>
      </c>
      <c r="C55" s="147">
        <v>0</v>
      </c>
      <c r="D55" s="6">
        <v>0</v>
      </c>
    </row>
    <row r="56" spans="1:4" hidden="1" x14ac:dyDescent="0.2">
      <c r="A56" s="12" t="s">
        <v>79</v>
      </c>
      <c r="B56" s="147">
        <v>1683342</v>
      </c>
      <c r="C56" s="147">
        <v>855278</v>
      </c>
      <c r="D56" s="34">
        <f t="shared" si="0"/>
        <v>0.96818110602634466</v>
      </c>
    </row>
    <row r="57" spans="1:4" hidden="1" x14ac:dyDescent="0.2">
      <c r="A57" s="20" t="s">
        <v>80</v>
      </c>
      <c r="B57" s="147">
        <v>0</v>
      </c>
      <c r="C57" s="147">
        <v>0</v>
      </c>
      <c r="D57" s="6">
        <v>0</v>
      </c>
    </row>
    <row r="58" spans="1:4" x14ac:dyDescent="0.2">
      <c r="A58" s="165" t="s">
        <v>10</v>
      </c>
      <c r="B58" s="166">
        <f>'Income Statement'!B61</f>
        <v>864875</v>
      </c>
      <c r="C58" s="166">
        <f>'Income Statement'!C61</f>
        <v>1714237.95</v>
      </c>
      <c r="D58" s="34">
        <f t="shared" si="0"/>
        <v>-0.49547552602017708</v>
      </c>
    </row>
    <row r="59" spans="1:4" ht="22.5" hidden="1" x14ac:dyDescent="0.2">
      <c r="A59" s="165" t="s">
        <v>193</v>
      </c>
      <c r="B59" s="166">
        <v>0</v>
      </c>
      <c r="C59" s="161">
        <v>0</v>
      </c>
      <c r="D59" s="6">
        <v>0</v>
      </c>
    </row>
    <row r="60" spans="1:4" hidden="1" x14ac:dyDescent="0.2">
      <c r="A60" s="20" t="s">
        <v>72</v>
      </c>
      <c r="B60" s="147">
        <v>0</v>
      </c>
      <c r="C60" s="161">
        <v>0</v>
      </c>
      <c r="D60" s="6">
        <v>0</v>
      </c>
    </row>
    <row r="61" spans="1:4" hidden="1" x14ac:dyDescent="0.2">
      <c r="A61" s="20" t="s">
        <v>73</v>
      </c>
      <c r="B61" s="147">
        <v>0</v>
      </c>
      <c r="C61" s="147">
        <v>0</v>
      </c>
      <c r="D61" s="6">
        <v>0</v>
      </c>
    </row>
    <row r="62" spans="1:4" hidden="1" x14ac:dyDescent="0.2">
      <c r="A62" s="12" t="s">
        <v>82</v>
      </c>
      <c r="B62" s="147">
        <v>5027202.96</v>
      </c>
      <c r="C62" s="147">
        <v>4698002.05</v>
      </c>
      <c r="D62" s="34">
        <f t="shared" si="0"/>
        <v>7.0072534344679596E-2</v>
      </c>
    </row>
    <row r="63" spans="1:4" hidden="1" x14ac:dyDescent="0.2">
      <c r="A63" s="20" t="s">
        <v>83</v>
      </c>
      <c r="B63" s="147">
        <v>188264</v>
      </c>
      <c r="C63" s="147">
        <v>106885</v>
      </c>
      <c r="D63" s="34">
        <f t="shared" si="0"/>
        <v>0.76136969640267582</v>
      </c>
    </row>
    <row r="64" spans="1:4" hidden="1" x14ac:dyDescent="0.2">
      <c r="A64" s="12" t="s">
        <v>84</v>
      </c>
      <c r="B64" s="147">
        <v>3301822</v>
      </c>
      <c r="C64" s="147">
        <v>960167</v>
      </c>
      <c r="D64" s="34">
        <f t="shared" si="0"/>
        <v>2.4387997088006568</v>
      </c>
    </row>
    <row r="65" spans="1:4" x14ac:dyDescent="0.2">
      <c r="A65" s="165" t="s">
        <v>85</v>
      </c>
      <c r="B65" s="166">
        <f>'Income Statement'!B68</f>
        <v>6556988</v>
      </c>
      <c r="C65" s="166">
        <f>'Income Statement'!C68</f>
        <v>8329024.96</v>
      </c>
      <c r="D65" s="34">
        <f t="shared" si="0"/>
        <v>-0.21275443026166654</v>
      </c>
    </row>
    <row r="66" spans="1:4" x14ac:dyDescent="0.2">
      <c r="A66" s="39" t="s">
        <v>86</v>
      </c>
      <c r="B66" s="173">
        <f>'Income Statement'!B69</f>
        <v>-5692113</v>
      </c>
      <c r="C66" s="173">
        <f>'Income Statement'!C69</f>
        <v>-6614787.0099999998</v>
      </c>
      <c r="D66" s="35">
        <f t="shared" si="0"/>
        <v>-0.13948657887323265</v>
      </c>
    </row>
    <row r="67" spans="1:4" x14ac:dyDescent="0.2">
      <c r="A67" s="165" t="s">
        <v>87</v>
      </c>
      <c r="B67" s="166">
        <f>'Income Statement'!B70</f>
        <v>194356910</v>
      </c>
      <c r="C67" s="166">
        <f>'Income Statement'!C70</f>
        <v>182612026.53074181</v>
      </c>
      <c r="D67" s="34">
        <f t="shared" si="0"/>
        <v>6.4316045839845043E-2</v>
      </c>
    </row>
    <row r="68" spans="1:4" x14ac:dyDescent="0.2">
      <c r="A68" s="165" t="s">
        <v>88</v>
      </c>
      <c r="B68" s="166">
        <f>'Income Statement'!B71</f>
        <v>168506901</v>
      </c>
      <c r="C68" s="166">
        <f>'Income Statement'!C71</f>
        <v>156070497.43135315</v>
      </c>
      <c r="D68" s="34">
        <f t="shared" si="0"/>
        <v>7.9684525732462277E-2</v>
      </c>
    </row>
    <row r="69" spans="1:4" x14ac:dyDescent="0.2">
      <c r="A69" s="39" t="s">
        <v>132</v>
      </c>
      <c r="B69" s="173">
        <f>'Income Statement'!B72</f>
        <v>25850009</v>
      </c>
      <c r="C69" s="173">
        <f>'Income Statement'!C72</f>
        <v>26541529.099388659</v>
      </c>
      <c r="D69" s="35">
        <f t="shared" si="0"/>
        <v>-2.6054267514096882E-2</v>
      </c>
    </row>
    <row r="70" spans="1:4" hidden="1" x14ac:dyDescent="0.2">
      <c r="A70" s="12" t="s">
        <v>90</v>
      </c>
      <c r="B70" s="147">
        <v>3862138.5984</v>
      </c>
      <c r="C70" s="147">
        <v>2859228.7421510001</v>
      </c>
      <c r="D70" s="34">
        <f t="shared" si="0"/>
        <v>0.35076237219639517</v>
      </c>
    </row>
    <row r="71" spans="1:4" hidden="1" x14ac:dyDescent="0.2">
      <c r="A71" s="12" t="s">
        <v>91</v>
      </c>
      <c r="B71" s="147">
        <v>0</v>
      </c>
      <c r="C71" s="147">
        <v>0</v>
      </c>
      <c r="D71" s="6">
        <v>0</v>
      </c>
    </row>
    <row r="72" spans="1:4" hidden="1" x14ac:dyDescent="0.2">
      <c r="A72" s="12" t="s">
        <v>92</v>
      </c>
      <c r="B72" s="147">
        <v>13819</v>
      </c>
      <c r="C72" s="147">
        <v>26740</v>
      </c>
      <c r="D72" s="34">
        <f t="shared" si="0"/>
        <v>-0.4832086761406133</v>
      </c>
    </row>
    <row r="73" spans="1:4" s="33" customFormat="1" ht="22.5" hidden="1" x14ac:dyDescent="0.2">
      <c r="A73" s="165" t="s">
        <v>192</v>
      </c>
      <c r="B73" s="166">
        <v>22665571.500988659</v>
      </c>
      <c r="C73" s="166">
        <v>10855579.110342227</v>
      </c>
      <c r="D73" s="36">
        <f t="shared" ref="D73:D75" si="1">(B73-C73)/C73</f>
        <v>1.0879191492782661</v>
      </c>
    </row>
    <row r="74" spans="1:4" hidden="1" x14ac:dyDescent="0.2">
      <c r="A74" s="12" t="s">
        <v>94</v>
      </c>
      <c r="B74" s="147">
        <v>326440</v>
      </c>
      <c r="C74" s="147">
        <v>259923</v>
      </c>
      <c r="D74" s="34">
        <f t="shared" si="1"/>
        <v>0.25591040423510042</v>
      </c>
    </row>
    <row r="75" spans="1:4" x14ac:dyDescent="0.2">
      <c r="A75" s="28" t="s">
        <v>133</v>
      </c>
      <c r="B75" s="173">
        <f>'Income Statement'!B78</f>
        <v>21077699</v>
      </c>
      <c r="C75" s="173">
        <f>'Income Statement'!C78</f>
        <v>22339131.500988659</v>
      </c>
      <c r="D75" s="35">
        <f t="shared" si="1"/>
        <v>-5.64673922499105E-2</v>
      </c>
    </row>
    <row r="76" spans="1:4" hidden="1" outlineLevel="1" x14ac:dyDescent="0.2">
      <c r="A76" s="12">
        <v>0</v>
      </c>
    </row>
    <row r="77" spans="1:4" hidden="1" outlineLevel="1" x14ac:dyDescent="0.2">
      <c r="A77" s="21" t="s">
        <v>96</v>
      </c>
      <c r="B77" s="45" t="e">
        <f>SUM(#REF!)</f>
        <v>#REF!</v>
      </c>
      <c r="C77" s="45"/>
    </row>
    <row r="78" spans="1:4" hidden="1" outlineLevel="1" x14ac:dyDescent="0.2">
      <c r="A78" s="14" t="s">
        <v>97</v>
      </c>
      <c r="B78" s="9" t="e">
        <f>B73-B77</f>
        <v>#REF!</v>
      </c>
      <c r="C78" s="9"/>
    </row>
    <row r="79" spans="1:4" hidden="1" outlineLevel="1" x14ac:dyDescent="0.2">
      <c r="A79" s="12">
        <v>0</v>
      </c>
    </row>
    <row r="80" spans="1:4" hidden="1" outlineLevel="1" x14ac:dyDescent="0.2">
      <c r="A80" s="14" t="s">
        <v>98</v>
      </c>
      <c r="B80" s="9" t="e">
        <f>#REF!</f>
        <v>#REF!</v>
      </c>
      <c r="C80" s="9"/>
    </row>
    <row r="81" spans="1:3" hidden="1" outlineLevel="1" x14ac:dyDescent="0.2">
      <c r="A81" s="14" t="s">
        <v>97</v>
      </c>
      <c r="B81" s="4" t="e">
        <f t="shared" ref="B81" si="2">B75-B80</f>
        <v>#REF!</v>
      </c>
      <c r="C81" s="4"/>
    </row>
    <row r="82" spans="1:3" collapsed="1" x14ac:dyDescent="0.2"/>
    <row r="84" spans="1:3" x14ac:dyDescent="0.2">
      <c r="A84" s="14"/>
    </row>
    <row r="85" spans="1:3" x14ac:dyDescent="0.2">
      <c r="A85" s="16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0CC2C-9FC6-4A67-B174-514B062B6EC6}">
  <sheetPr>
    <tabColor rgb="FFFFC000"/>
    <pageSetUpPr fitToPage="1"/>
  </sheetPr>
  <dimension ref="A3:M41"/>
  <sheetViews>
    <sheetView topLeftCell="A3" workbookViewId="0">
      <selection activeCell="A16" sqref="A16"/>
    </sheetView>
  </sheetViews>
  <sheetFormatPr defaultRowHeight="11.25" x14ac:dyDescent="0.2"/>
  <cols>
    <col min="1" max="1" width="74.6640625" customWidth="1"/>
    <col min="2" max="2" width="17.1640625" customWidth="1"/>
    <col min="3" max="3" width="20.5" customWidth="1"/>
    <col min="4" max="4" width="19.5" customWidth="1"/>
    <col min="8" max="8" width="15.1640625" customWidth="1"/>
    <col min="9" max="9" width="10.33203125" bestFit="1" customWidth="1"/>
    <col min="13" max="13" width="13" bestFit="1" customWidth="1"/>
    <col min="14" max="14" width="37.5" bestFit="1" customWidth="1"/>
  </cols>
  <sheetData>
    <row r="3" spans="1:13" x14ac:dyDescent="0.2">
      <c r="A3" s="188">
        <f>'[1]Balance sheets'!C2</f>
        <v>45291</v>
      </c>
    </row>
    <row r="6" spans="1:13" ht="15" x14ac:dyDescent="0.2">
      <c r="A6" s="185" t="s">
        <v>199</v>
      </c>
      <c r="B6" s="184"/>
      <c r="C6" s="184"/>
      <c r="D6" s="178"/>
    </row>
    <row r="7" spans="1:13" ht="15" x14ac:dyDescent="0.2">
      <c r="A7" s="185" t="s">
        <v>135</v>
      </c>
      <c r="B7" s="197">
        <v>45565</v>
      </c>
      <c r="C7" s="197">
        <v>45291</v>
      </c>
      <c r="D7" s="178" t="s">
        <v>134</v>
      </c>
    </row>
    <row r="8" spans="1:13" ht="15" x14ac:dyDescent="0.2">
      <c r="A8" s="183" t="s">
        <v>154</v>
      </c>
      <c r="B8" s="171">
        <v>31197798</v>
      </c>
      <c r="C8" s="171">
        <v>31153749</v>
      </c>
      <c r="D8" s="189">
        <f>(B8-C8)/C8</f>
        <v>1.4139229278633527E-3</v>
      </c>
      <c r="G8" s="182"/>
      <c r="M8" s="171"/>
    </row>
    <row r="9" spans="1:13" ht="15" x14ac:dyDescent="0.2">
      <c r="A9" s="183" t="s">
        <v>155</v>
      </c>
      <c r="B9" s="171">
        <v>5961298</v>
      </c>
      <c r="C9" s="171">
        <v>3584115</v>
      </c>
      <c r="D9" s="189">
        <f t="shared" ref="D9:D22" si="0">(B9-C9)/C9</f>
        <v>0.66325522479049914</v>
      </c>
      <c r="G9" s="182"/>
      <c r="M9" s="171"/>
    </row>
    <row r="10" spans="1:13" ht="15" x14ac:dyDescent="0.2">
      <c r="A10" s="183" t="s">
        <v>198</v>
      </c>
      <c r="B10" s="171">
        <v>467935</v>
      </c>
      <c r="C10" s="171">
        <v>467841</v>
      </c>
      <c r="D10" s="189">
        <f t="shared" si="0"/>
        <v>2.0092296314346114E-4</v>
      </c>
      <c r="G10" s="182"/>
      <c r="M10" s="171"/>
    </row>
    <row r="11" spans="1:13" ht="15" x14ac:dyDescent="0.2">
      <c r="A11" s="183" t="s">
        <v>136</v>
      </c>
      <c r="B11" s="171">
        <v>30961364.261399999</v>
      </c>
      <c r="C11" s="171">
        <v>31176758</v>
      </c>
      <c r="D11" s="189">
        <f t="shared" si="0"/>
        <v>-6.908792075173459E-3</v>
      </c>
      <c r="M11" s="171"/>
    </row>
    <row r="12" spans="1:13" ht="15" x14ac:dyDescent="0.2">
      <c r="A12" s="201" t="s">
        <v>210</v>
      </c>
      <c r="B12" s="171">
        <v>9176757.5299999993</v>
      </c>
      <c r="C12" s="171">
        <v>6265921</v>
      </c>
      <c r="D12" s="189">
        <f t="shared" si="0"/>
        <v>0.46455046752105544</v>
      </c>
      <c r="G12" s="182"/>
      <c r="M12" s="171"/>
    </row>
    <row r="13" spans="1:13" ht="15" x14ac:dyDescent="0.2">
      <c r="A13" s="183" t="s">
        <v>137</v>
      </c>
      <c r="B13" s="171">
        <v>16480.22</v>
      </c>
      <c r="C13" s="171">
        <v>7159</v>
      </c>
      <c r="D13" s="189">
        <f t="shared" si="0"/>
        <v>1.3020282162313175</v>
      </c>
      <c r="M13" s="171"/>
    </row>
    <row r="14" spans="1:13" ht="15" x14ac:dyDescent="0.2">
      <c r="A14" s="183" t="s">
        <v>138</v>
      </c>
      <c r="B14" s="171">
        <v>3820777.29</v>
      </c>
      <c r="C14" s="171">
        <v>1021076</v>
      </c>
      <c r="D14" s="189">
        <f t="shared" si="0"/>
        <v>2.7419127371517891</v>
      </c>
      <c r="M14" s="171"/>
    </row>
    <row r="15" spans="1:13" ht="15" x14ac:dyDescent="0.2">
      <c r="A15" s="183" t="s">
        <v>139</v>
      </c>
      <c r="B15" s="171">
        <v>1304973</v>
      </c>
      <c r="C15" s="171">
        <v>1405436</v>
      </c>
      <c r="D15" s="189">
        <f t="shared" si="0"/>
        <v>-7.1481732359210945E-2</v>
      </c>
      <c r="E15" s="177"/>
      <c r="F15" s="177">
        <f>(B15+B16)</f>
        <v>1989935</v>
      </c>
      <c r="G15" s="177">
        <f>C15+C16</f>
        <v>2177077</v>
      </c>
      <c r="H15" s="251">
        <f>(F15-G15)/G15</f>
        <v>-8.5960211788558699E-2</v>
      </c>
      <c r="M15" s="171"/>
    </row>
    <row r="16" spans="1:13" ht="15" x14ac:dyDescent="0.2">
      <c r="A16" s="183" t="s">
        <v>140</v>
      </c>
      <c r="B16" s="171">
        <v>684962</v>
      </c>
      <c r="C16" s="171">
        <v>771641</v>
      </c>
      <c r="D16" s="189">
        <f t="shared" si="0"/>
        <v>-0.1123307341108106</v>
      </c>
      <c r="G16" s="177">
        <f>G15-F15</f>
        <v>187142</v>
      </c>
      <c r="M16" s="171"/>
    </row>
    <row r="17" spans="1:13" ht="15" x14ac:dyDescent="0.2">
      <c r="A17" s="183" t="s">
        <v>141</v>
      </c>
      <c r="B17" s="171">
        <v>64990</v>
      </c>
      <c r="C17" s="171">
        <v>65914</v>
      </c>
      <c r="D17" s="189">
        <f t="shared" si="0"/>
        <v>-1.4018266225688018E-2</v>
      </c>
      <c r="M17" s="171"/>
    </row>
    <row r="18" spans="1:13" ht="15" x14ac:dyDescent="0.2">
      <c r="A18" s="183" t="s">
        <v>142</v>
      </c>
      <c r="B18" s="171">
        <v>1091719</v>
      </c>
      <c r="C18" s="171">
        <v>84739</v>
      </c>
      <c r="D18" s="189">
        <f t="shared" si="0"/>
        <v>11.883312288320608</v>
      </c>
      <c r="M18" s="171"/>
    </row>
    <row r="19" spans="1:13" ht="15" x14ac:dyDescent="0.2">
      <c r="A19" s="183" t="s">
        <v>143</v>
      </c>
      <c r="B19" s="171">
        <v>446658</v>
      </c>
      <c r="C19" s="171">
        <v>347524</v>
      </c>
      <c r="D19" s="189">
        <f t="shared" si="0"/>
        <v>0.28525799657002104</v>
      </c>
      <c r="M19" s="171"/>
    </row>
    <row r="20" spans="1:13" ht="15" x14ac:dyDescent="0.2">
      <c r="A20" s="183" t="s">
        <v>156</v>
      </c>
      <c r="B20">
        <v>0</v>
      </c>
      <c r="C20" s="171">
        <v>0</v>
      </c>
      <c r="D20" s="189" t="s">
        <v>115</v>
      </c>
      <c r="M20" s="171"/>
    </row>
    <row r="21" spans="1:13" ht="15" x14ac:dyDescent="0.2">
      <c r="A21" s="183" t="s">
        <v>163</v>
      </c>
      <c r="B21" s="171">
        <v>52438</v>
      </c>
      <c r="C21" s="171">
        <v>45665</v>
      </c>
      <c r="D21" s="189">
        <f t="shared" si="0"/>
        <v>0.14831928172561043</v>
      </c>
      <c r="M21" s="171"/>
    </row>
    <row r="22" spans="1:13" ht="15" x14ac:dyDescent="0.2">
      <c r="A22" s="185" t="s">
        <v>144</v>
      </c>
      <c r="B22" s="179">
        <v>85248150.301400006</v>
      </c>
      <c r="C22" s="179">
        <v>76397539</v>
      </c>
      <c r="D22" s="190">
        <f t="shared" si="0"/>
        <v>0.11584942940897619</v>
      </c>
      <c r="H22" s="171"/>
      <c r="I22" s="177"/>
    </row>
    <row r="23" spans="1:13" ht="12.75" x14ac:dyDescent="0.2">
      <c r="A23" s="187"/>
      <c r="B23" s="186"/>
      <c r="C23" s="186"/>
      <c r="D23" s="186"/>
    </row>
    <row r="24" spans="1:13" ht="12.75" x14ac:dyDescent="0.2">
      <c r="A24" s="187"/>
      <c r="B24" s="186"/>
      <c r="C24" s="186"/>
      <c r="D24" s="186"/>
    </row>
    <row r="25" spans="1:13" ht="15" x14ac:dyDescent="0.2">
      <c r="A25" s="185" t="s">
        <v>152</v>
      </c>
      <c r="B25" s="184"/>
      <c r="C25" s="184"/>
      <c r="D25" s="178"/>
    </row>
    <row r="26" spans="1:13" ht="15" x14ac:dyDescent="0.2">
      <c r="A26" s="180" t="s">
        <v>135</v>
      </c>
      <c r="B26" s="197">
        <v>45565</v>
      </c>
      <c r="C26" s="197">
        <v>45291</v>
      </c>
      <c r="D26" s="178" t="s">
        <v>134</v>
      </c>
    </row>
    <row r="27" spans="1:13" ht="15" x14ac:dyDescent="0.2">
      <c r="A27" s="181" t="s">
        <v>145</v>
      </c>
      <c r="B27" s="171">
        <v>35668415</v>
      </c>
      <c r="C27" s="171">
        <v>10932150</v>
      </c>
      <c r="D27" s="189">
        <f t="shared" ref="D27:D35" si="1">(B27-C27)/C27</f>
        <v>2.2627081589623268</v>
      </c>
      <c r="M27" s="171"/>
    </row>
    <row r="28" spans="1:13" ht="15" x14ac:dyDescent="0.2">
      <c r="A28" s="181" t="s">
        <v>146</v>
      </c>
      <c r="B28" s="171">
        <v>48737829</v>
      </c>
      <c r="C28" s="171">
        <v>67274497</v>
      </c>
      <c r="D28" s="189">
        <f t="shared" si="1"/>
        <v>-0.27553781635855262</v>
      </c>
      <c r="M28" s="171"/>
    </row>
    <row r="29" spans="1:13" ht="15" x14ac:dyDescent="0.2">
      <c r="A29" s="181" t="s">
        <v>147</v>
      </c>
      <c r="B29" s="171">
        <v>716974</v>
      </c>
      <c r="C29" s="171">
        <v>1215708</v>
      </c>
      <c r="D29" s="189">
        <f t="shared" si="1"/>
        <v>-0.41024160406939825</v>
      </c>
      <c r="M29" s="171"/>
    </row>
    <row r="30" spans="1:13" ht="15" x14ac:dyDescent="0.2">
      <c r="A30" s="181" t="s">
        <v>148</v>
      </c>
      <c r="B30" s="171">
        <v>8642657</v>
      </c>
      <c r="C30" s="171">
        <v>7284670</v>
      </c>
      <c r="D30" s="189">
        <f t="shared" si="1"/>
        <v>0.1864170923322539</v>
      </c>
      <c r="G30" s="182"/>
      <c r="M30" s="171"/>
    </row>
    <row r="31" spans="1:13" ht="15" x14ac:dyDescent="0.2">
      <c r="A31" s="181" t="s">
        <v>149</v>
      </c>
      <c r="B31" s="171">
        <v>123696</v>
      </c>
      <c r="C31" s="171">
        <v>238132</v>
      </c>
      <c r="D31" s="189">
        <f t="shared" si="1"/>
        <v>-0.4805570019988914</v>
      </c>
      <c r="G31" s="182"/>
      <c r="M31" s="171"/>
    </row>
    <row r="32" spans="1:13" ht="15" x14ac:dyDescent="0.2">
      <c r="A32" s="183" t="s">
        <v>198</v>
      </c>
      <c r="B32" s="171">
        <v>1013861</v>
      </c>
      <c r="C32" s="171">
        <v>1363212</v>
      </c>
      <c r="D32" s="189">
        <f t="shared" si="1"/>
        <v>-0.25627048470817454</v>
      </c>
      <c r="G32" s="182"/>
      <c r="M32" s="171"/>
    </row>
    <row r="33" spans="1:13" ht="15" x14ac:dyDescent="0.2">
      <c r="A33" s="181" t="s">
        <v>150</v>
      </c>
      <c r="B33" s="171">
        <v>334952</v>
      </c>
      <c r="C33" s="171">
        <v>46375</v>
      </c>
      <c r="D33" s="189">
        <f t="shared" si="1"/>
        <v>6.2226846361185988</v>
      </c>
      <c r="G33" s="182"/>
      <c r="M33" s="171"/>
    </row>
    <row r="34" spans="1:13" ht="15" x14ac:dyDescent="0.2">
      <c r="A34" s="181" t="s">
        <v>151</v>
      </c>
      <c r="B34" s="171">
        <v>7300000.2384000001</v>
      </c>
      <c r="C34" s="171">
        <v>7600000</v>
      </c>
      <c r="D34" s="189">
        <f t="shared" si="1"/>
        <v>-3.9473652842105245E-2</v>
      </c>
      <c r="M34" s="171"/>
    </row>
    <row r="35" spans="1:13" ht="15" x14ac:dyDescent="0.2">
      <c r="A35" s="180" t="s">
        <v>144</v>
      </c>
      <c r="B35" s="179">
        <v>102538384.2384</v>
      </c>
      <c r="C35" s="179">
        <v>95954744</v>
      </c>
      <c r="D35" s="190">
        <f t="shared" si="1"/>
        <v>6.8611930624295103E-2</v>
      </c>
      <c r="H35" s="171"/>
      <c r="I35" s="177"/>
      <c r="M35" s="171"/>
    </row>
    <row r="36" spans="1:13" ht="15" x14ac:dyDescent="0.2">
      <c r="M36" s="171"/>
    </row>
    <row r="37" spans="1:13" ht="15" x14ac:dyDescent="0.2">
      <c r="M37" s="171"/>
    </row>
    <row r="38" spans="1:13" ht="15" x14ac:dyDescent="0.2">
      <c r="M38" s="171"/>
    </row>
    <row r="39" spans="1:13" ht="15" x14ac:dyDescent="0.2">
      <c r="M39" s="171"/>
    </row>
    <row r="40" spans="1:13" ht="15" x14ac:dyDescent="0.2">
      <c r="M40" s="171"/>
    </row>
    <row r="41" spans="1:13" ht="15" x14ac:dyDescent="0.2">
      <c r="M41" s="171"/>
    </row>
  </sheetData>
  <pageMargins left="0.7" right="0.7" top="0.75" bottom="0.75" header="0.3" footer="0.3"/>
  <pageSetup paperSize="9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bvb indicators 30.09.2024 </vt:lpstr>
      <vt:lpstr>bvb 30.09.2024</vt:lpstr>
      <vt:lpstr>BS pt import 16</vt:lpstr>
      <vt:lpstr>BS (2)</vt:lpstr>
      <vt:lpstr>BS (3)</vt:lpstr>
      <vt:lpstr>Income Statement</vt:lpstr>
      <vt:lpstr>IS(2)</vt:lpstr>
      <vt:lpstr>IS(3)</vt:lpstr>
      <vt:lpstr>Datorii</vt:lpstr>
      <vt:lpstr>indicatori</vt:lpstr>
      <vt:lpstr> 30.09.2024</vt:lpstr>
      <vt:lpstr>' 30.09.2024'!_Hlk125550204</vt:lpstr>
      <vt:lpstr>'bvb 30.09.2024'!_Hlk125550204</vt:lpstr>
      <vt:lpstr>'bvb indicators 30.09.2024 '!_Hlk125550204</vt:lpstr>
      <vt:lpstr>'BS pt import 16'!Print_Area</vt:lpstr>
      <vt:lpstr>'bvb 30.09.2024'!Print_Area</vt:lpstr>
      <vt:lpstr>'Income Statement'!Print_Area</vt:lpstr>
      <vt:lpstr>'IS(2)'!Print_Area</vt:lpstr>
      <vt:lpstr>'IS(3)'!Print_Area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Gabriel TICO</cp:lastModifiedBy>
  <cp:lastPrinted>2024-11-21T15:47:47Z</cp:lastPrinted>
  <dcterms:created xsi:type="dcterms:W3CDTF">2022-09-16T12:42:01Z</dcterms:created>
  <dcterms:modified xsi:type="dcterms:W3CDTF">2024-11-21T15:48:46Z</dcterms:modified>
</cp:coreProperties>
</file>